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99000959\Desktop\ACCT301\"/>
    </mc:Choice>
  </mc:AlternateContent>
  <bookViews>
    <workbookView xWindow="0" yWindow="0" windowWidth="8790" windowHeight="8295"/>
  </bookViews>
  <sheets>
    <sheet name="Operating Budget" sheetId="1" r:id="rId1"/>
    <sheet name="Cash Budget" sheetId="2" r:id="rId2"/>
    <sheet name="Variances" sheetId="3" r:id="rId3"/>
    <sheet name="Decisions" sheetId="4" r:id="rId4"/>
    <sheet name="Capital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D6" i="5" l="1"/>
  <c r="E6" i="5" s="1"/>
  <c r="F6" i="5" s="1"/>
  <c r="G6" i="5" s="1"/>
  <c r="B3" i="5"/>
  <c r="D11" i="3"/>
  <c r="D10" i="3"/>
  <c r="G18" i="2"/>
  <c r="M13" i="2"/>
  <c r="H14" i="1"/>
  <c r="M9" i="5" l="1"/>
  <c r="B10" i="5"/>
  <c r="C10" i="5"/>
  <c r="D10" i="5"/>
  <c r="E10" i="5"/>
  <c r="F10" i="5"/>
  <c r="G10" i="5"/>
  <c r="H10" i="5"/>
  <c r="I10" i="5"/>
  <c r="J10" i="5"/>
  <c r="K10" i="5"/>
  <c r="L10" i="5"/>
  <c r="M7" i="5"/>
  <c r="M8" i="5"/>
  <c r="M6" i="5"/>
  <c r="M3" i="5"/>
  <c r="M10" i="5" l="1"/>
  <c r="D7" i="3"/>
  <c r="D12" i="3"/>
  <c r="E12" i="3"/>
  <c r="E14" i="3" s="1"/>
  <c r="D19" i="3"/>
  <c r="D14" i="3" l="1"/>
  <c r="D21" i="3" s="1"/>
  <c r="B6" i="3"/>
  <c r="D13" i="2"/>
  <c r="G22" i="2" l="1"/>
  <c r="G21" i="2"/>
  <c r="G25" i="2"/>
  <c r="C19" i="1"/>
  <c r="C18" i="1"/>
  <c r="H22" i="1"/>
  <c r="I10" i="1"/>
  <c r="J9" i="1"/>
  <c r="J8" i="1"/>
  <c r="K9" i="2" l="1"/>
  <c r="E11" i="2" s="1"/>
  <c r="L9" i="2"/>
  <c r="M9" i="2"/>
  <c r="D19" i="1"/>
  <c r="F13" i="2" s="1"/>
  <c r="B18" i="3"/>
  <c r="G18" i="3" s="1"/>
  <c r="E13" i="2"/>
  <c r="D18" i="1"/>
  <c r="B17" i="3"/>
  <c r="G17" i="3" s="1"/>
  <c r="J10" i="1"/>
  <c r="B11" i="1"/>
  <c r="D9" i="4"/>
  <c r="D14" i="4"/>
  <c r="B12" i="5"/>
  <c r="F11" i="2" l="1"/>
  <c r="B7" i="1"/>
  <c r="C7" i="1" s="1"/>
  <c r="J9" i="2"/>
  <c r="G11" i="2" s="1"/>
  <c r="H25" i="1"/>
  <c r="B12" i="1" s="1"/>
  <c r="B8" i="4" s="1"/>
  <c r="J19" i="3"/>
  <c r="G19" i="3"/>
  <c r="D7" i="1"/>
  <c r="C6" i="3"/>
  <c r="C11" i="1"/>
  <c r="C10" i="3" s="1"/>
  <c r="B19" i="3"/>
  <c r="C12" i="5"/>
  <c r="D12" i="5" s="1"/>
  <c r="E12" i="5" s="1"/>
  <c r="F12" i="5" s="1"/>
  <c r="G12" i="5" s="1"/>
  <c r="H12" i="5" s="1"/>
  <c r="D20" i="1"/>
  <c r="C20" i="1"/>
  <c r="B20" i="1"/>
  <c r="E19" i="1"/>
  <c r="B13" i="4" s="1"/>
  <c r="E18" i="1"/>
  <c r="B12" i="4" s="1"/>
  <c r="E6" i="1"/>
  <c r="B5" i="4" s="1"/>
  <c r="D16" i="4" s="1"/>
  <c r="D18" i="4" s="1"/>
  <c r="C8" i="1"/>
  <c r="E4" i="2" s="1"/>
  <c r="D8" i="1"/>
  <c r="F4" i="2" s="1"/>
  <c r="F8" i="2" s="1"/>
  <c r="B8" i="1"/>
  <c r="D4" i="2" s="1"/>
  <c r="D12" i="2" l="1"/>
  <c r="F12" i="2"/>
  <c r="F14" i="2" s="1"/>
  <c r="E12" i="2"/>
  <c r="E14" i="2" s="1"/>
  <c r="B10" i="3"/>
  <c r="B7" i="3"/>
  <c r="D11" i="1"/>
  <c r="F7" i="2"/>
  <c r="E8" i="2"/>
  <c r="D8" i="2"/>
  <c r="F6" i="2"/>
  <c r="B13" i="1"/>
  <c r="B15" i="1" s="1"/>
  <c r="B16" i="1" s="1"/>
  <c r="B14" i="4"/>
  <c r="B9" i="4"/>
  <c r="D14" i="2"/>
  <c r="G12" i="2"/>
  <c r="C12" i="1"/>
  <c r="C11" i="3"/>
  <c r="I12" i="5"/>
  <c r="J12" i="5" s="1"/>
  <c r="K12" i="5" s="1"/>
  <c r="L12" i="5" s="1"/>
  <c r="E20" i="1"/>
  <c r="E8" i="1"/>
  <c r="B16" i="4" l="1"/>
  <c r="G4" i="2"/>
  <c r="H12" i="3"/>
  <c r="H14" i="3" s="1"/>
  <c r="J7" i="3"/>
  <c r="B14" i="1"/>
  <c r="B22" i="1" s="1"/>
  <c r="B18" i="4"/>
  <c r="G8" i="2"/>
  <c r="D9" i="2"/>
  <c r="D15" i="2" s="1"/>
  <c r="G7" i="2"/>
  <c r="E9" i="2"/>
  <c r="E15" i="2" s="1"/>
  <c r="E24" i="2" s="1"/>
  <c r="F9" i="2"/>
  <c r="F15" i="2" s="1"/>
  <c r="F24" i="2" s="1"/>
  <c r="G6" i="2"/>
  <c r="C12" i="3"/>
  <c r="C14" i="3" s="1"/>
  <c r="B11" i="3"/>
  <c r="B12" i="3" s="1"/>
  <c r="B14" i="3" s="1"/>
  <c r="B21" i="3" s="1"/>
  <c r="C23" i="3" s="1"/>
  <c r="D12" i="1"/>
  <c r="D13" i="1" s="1"/>
  <c r="E13" i="1" s="1"/>
  <c r="E14" i="1" s="1"/>
  <c r="C13" i="1"/>
  <c r="G13" i="2"/>
  <c r="G14" i="2" s="1"/>
  <c r="G12" i="3" l="1"/>
  <c r="G14" i="3" s="1"/>
  <c r="G21" i="3" s="1"/>
  <c r="J10" i="3"/>
  <c r="J12" i="3" s="1"/>
  <c r="J14" i="3" s="1"/>
  <c r="J21" i="3" s="1"/>
  <c r="B25" i="3" s="1"/>
  <c r="B26" i="3" s="1"/>
  <c r="K12" i="3"/>
  <c r="K14" i="3" s="1"/>
  <c r="G9" i="2"/>
  <c r="G15" i="2" s="1"/>
  <c r="G24" i="2" s="1"/>
  <c r="G26" i="2" s="1"/>
  <c r="D15" i="1"/>
  <c r="D16" i="1" s="1"/>
  <c r="D14" i="1"/>
  <c r="D22" i="1" s="1"/>
  <c r="C15" i="1"/>
  <c r="C16" i="1" s="1"/>
  <c r="C14" i="1"/>
  <c r="D24" i="2"/>
  <c r="D26" i="2" s="1"/>
  <c r="E25" i="2" s="1"/>
  <c r="E26" i="2" s="1"/>
  <c r="F25" i="2" s="1"/>
  <c r="F26" i="2" s="1"/>
  <c r="C22" i="1" l="1"/>
  <c r="E22" i="1"/>
</calcChain>
</file>

<file path=xl/sharedStrings.xml><?xml version="1.0" encoding="utf-8"?>
<sst xmlns="http://schemas.openxmlformats.org/spreadsheetml/2006/main" count="252" uniqueCount="172">
  <si>
    <t>Jan</t>
  </si>
  <si>
    <t>Feb</t>
  </si>
  <si>
    <t>March</t>
  </si>
  <si>
    <t>Total Qtr</t>
  </si>
  <si>
    <t>Sales :</t>
  </si>
  <si>
    <t>Units</t>
  </si>
  <si>
    <t>Total Sales Revenue</t>
  </si>
  <si>
    <t>Production</t>
  </si>
  <si>
    <t>Selling</t>
  </si>
  <si>
    <t>Variable Costs (stated as per unit)</t>
  </si>
  <si>
    <t>Fixed Costs</t>
  </si>
  <si>
    <t>Administration</t>
  </si>
  <si>
    <t>Total Fixed Costs</t>
  </si>
  <si>
    <t>Net Income</t>
  </si>
  <si>
    <t>Contribution Margin</t>
  </si>
  <si>
    <t>Total Variable Costs per unit</t>
  </si>
  <si>
    <t>Prepare a Flexible Budget</t>
  </si>
  <si>
    <t>Prepare a Cash Budget</t>
  </si>
  <si>
    <t>Price/unit</t>
  </si>
  <si>
    <t>Cash Receipts</t>
  </si>
  <si>
    <t>Cash Disbursements</t>
  </si>
  <si>
    <t>Net Operating Cash</t>
  </si>
  <si>
    <t>Investments:</t>
  </si>
  <si>
    <t>Financing:</t>
  </si>
  <si>
    <t>Net Cash Flow</t>
  </si>
  <si>
    <t>Ending Cash Balance</t>
  </si>
  <si>
    <t>Dec</t>
  </si>
  <si>
    <t>Master Budget</t>
  </si>
  <si>
    <t>Actual</t>
  </si>
  <si>
    <t>Flex Budget</t>
  </si>
  <si>
    <t>What is the volume variance</t>
  </si>
  <si>
    <t>What is the spending rate variance</t>
  </si>
  <si>
    <t>Evaluate an outsourcing decision</t>
  </si>
  <si>
    <t xml:space="preserve">Outsource </t>
  </si>
  <si>
    <t>Prepare a discounted cash flow analysis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</si>
  <si>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</si>
  <si>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</si>
  <si>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</si>
  <si>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</si>
  <si>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</si>
  <si>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</si>
  <si>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</si>
  <si>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</si>
  <si>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</si>
  <si>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</si>
  <si>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</si>
  <si>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Totals</t>
  </si>
  <si>
    <t>Investment</t>
  </si>
  <si>
    <t>Cash Flows</t>
  </si>
  <si>
    <t>Sales</t>
  </si>
  <si>
    <t>Salvage value</t>
  </si>
  <si>
    <t>Operating Costs</t>
  </si>
  <si>
    <t>Major Maintenance</t>
  </si>
  <si>
    <t>Cummulative CF</t>
  </si>
  <si>
    <t>Hurdle Rate</t>
  </si>
  <si>
    <t>Payback Period</t>
  </si>
  <si>
    <t>Profitability Index</t>
  </si>
  <si>
    <t>Relevant Costs</t>
  </si>
  <si>
    <t>Nov</t>
  </si>
  <si>
    <t>Buzz Pizza</t>
  </si>
  <si>
    <t>Prepare a Master Operating Budget for the First Quarter</t>
  </si>
  <si>
    <t>Large</t>
  </si>
  <si>
    <t>Medium</t>
  </si>
  <si>
    <t>Sales Price (all 2 topping):</t>
  </si>
  <si>
    <t>hourly labor cost plus fringe benefits</t>
  </si>
  <si>
    <t>Dough</t>
  </si>
  <si>
    <t>cheese</t>
  </si>
  <si>
    <t>toppings</t>
  </si>
  <si>
    <t>caffinated tomato sauce</t>
  </si>
  <si>
    <t>Boxes</t>
  </si>
  <si>
    <t>Total direct material per pizza</t>
  </si>
  <si>
    <t>Total direct labor per pizza</t>
  </si>
  <si>
    <t>% Sales</t>
  </si>
  <si>
    <t>(A)</t>
  </si>
  <si>
    <t>Direct Labor:</t>
  </si>
  <si>
    <t>Direct Materials:</t>
  </si>
  <si>
    <t>April</t>
  </si>
  <si>
    <t>(F)</t>
  </si>
  <si>
    <t>(G)</t>
  </si>
  <si>
    <t>Cash Receipts from:</t>
  </si>
  <si>
    <t>total cash receipts</t>
  </si>
  <si>
    <t>Raw Materials</t>
  </si>
  <si>
    <t>total disbursements</t>
  </si>
  <si>
    <t>New Debt</t>
  </si>
  <si>
    <t>Repay debt</t>
  </si>
  <si>
    <t>Expand Business</t>
  </si>
  <si>
    <t>1 month ago (60%</t>
  </si>
  <si>
    <t>current month (25%)</t>
  </si>
  <si>
    <t>Breakeven Point in sales units</t>
  </si>
  <si>
    <t>CM per unit</t>
  </si>
  <si>
    <t>CM Ratio</t>
  </si>
  <si>
    <t>Selling Expenses</t>
  </si>
  <si>
    <t>Administrative Expenses</t>
  </si>
  <si>
    <t xml:space="preserve">Total Variable Costs </t>
  </si>
  <si>
    <t>February</t>
  </si>
  <si>
    <t>per Unit</t>
  </si>
  <si>
    <t>Variable Costs:</t>
  </si>
  <si>
    <t>Fixed Costs:</t>
  </si>
  <si>
    <t>(B)</t>
  </si>
  <si>
    <t>Input the flex  budget sales units and the per unit price</t>
  </si>
  <si>
    <t>(D)</t>
  </si>
  <si>
    <t>(C)</t>
  </si>
  <si>
    <t>Input the flex budget production cost per unit and calculate</t>
  </si>
  <si>
    <t>the total flex production costs.</t>
  </si>
  <si>
    <t>Input the flex budget variable selling costs per unit</t>
  </si>
  <si>
    <t>(E)</t>
  </si>
  <si>
    <t>Input the flex budget fixed selling and administration costs</t>
  </si>
  <si>
    <t>Calculate the variances between the actual and flex budget</t>
  </si>
  <si>
    <t>Total</t>
  </si>
  <si>
    <r>
      <t>Units</t>
    </r>
    <r>
      <rPr>
        <b/>
        <sz val="11"/>
        <color theme="1"/>
        <rFont val="Calibri"/>
        <family val="2"/>
        <scheme val="minor"/>
      </rPr>
      <t xml:space="preserve"> (B)</t>
    </r>
  </si>
  <si>
    <t>Units to Produce</t>
  </si>
  <si>
    <t>Input the total fixed costs from the master budget</t>
  </si>
  <si>
    <t>Input the vendor's price</t>
  </si>
  <si>
    <t>Cost per unit produced</t>
  </si>
  <si>
    <t>Total Costs</t>
  </si>
  <si>
    <t>Calculate, based on the collection history, the cash receipts from customers</t>
  </si>
  <si>
    <t>Determine the appropriate financing activities so as to keep at least the</t>
  </si>
  <si>
    <t>Net Present Value (=NPV)</t>
  </si>
  <si>
    <t>Internal Rate of Return (=IRR)</t>
  </si>
  <si>
    <t>(A) Use the Excel function =NPV in order to determine the value of the future cash flows, net of the initial investment</t>
  </si>
  <si>
    <t>(B) Use the IRR function in order to determine the "interest" earned on the cash flows from year 0 to year 10</t>
  </si>
  <si>
    <t>(C) Look at the cummulative cash flow. How long before the initial investment is paid off?</t>
  </si>
  <si>
    <t>(D) Calculate the ratio of the project's PV of cashflows from years 1-10/ initial investment</t>
  </si>
  <si>
    <t>(E) Decide in which year (5-7) this expenditure should be made. Add $5,000 for every year after year 5</t>
  </si>
  <si>
    <t>wgtd.</t>
  </si>
  <si>
    <t>average</t>
  </si>
  <si>
    <t>Target Market: adult learners, timestarved, poor time management</t>
  </si>
  <si>
    <t xml:space="preserve">       Average Sales Price/unit</t>
  </si>
  <si>
    <r>
      <t xml:space="preserve">Sales comissions </t>
    </r>
    <r>
      <rPr>
        <b/>
        <sz val="11"/>
        <color theme="1"/>
        <rFont val="Calibri"/>
        <family val="2"/>
        <scheme val="minor"/>
      </rPr>
      <t>(D)</t>
    </r>
  </si>
  <si>
    <t>Conduct Variance Analysis</t>
  </si>
  <si>
    <t>Input the number of units to be produced (same as the sales for the quarter)</t>
  </si>
  <si>
    <t>From the master budget, input the variable costs per unit for production.</t>
  </si>
  <si>
    <t>From the master budget, input the variable costs per unit for selling.</t>
  </si>
  <si>
    <t>Enter the total fixed costs that will NOT be avoided due to oursourcing</t>
  </si>
  <si>
    <r>
      <rPr>
        <b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efficiency rate as minutes per pizza</t>
    </r>
  </si>
  <si>
    <t>Total Variable Selling Expenses per pizza</t>
  </si>
  <si>
    <r>
      <t>Selling</t>
    </r>
    <r>
      <rPr>
        <b/>
        <sz val="11"/>
        <color theme="1"/>
        <rFont val="Calibri"/>
        <family val="2"/>
        <scheme val="minor"/>
      </rPr>
      <t xml:space="preserve"> (E)</t>
    </r>
  </si>
  <si>
    <r>
      <t>Administration</t>
    </r>
    <r>
      <rPr>
        <b/>
        <sz val="11"/>
        <color theme="1"/>
        <rFont val="Calibri"/>
        <family val="2"/>
        <scheme val="minor"/>
      </rPr>
      <t xml:space="preserve"> (F)</t>
    </r>
  </si>
  <si>
    <t>(H)</t>
  </si>
  <si>
    <t>ACTUAL</t>
  </si>
  <si>
    <t>BUDGET</t>
  </si>
  <si>
    <t>Sales Revenues</t>
  </si>
  <si>
    <t>Total Purchases</t>
  </si>
  <si>
    <t>December</t>
  </si>
  <si>
    <t>January</t>
  </si>
  <si>
    <t>Calculate the cash disbursements for raw material purchases, assuming 1/2 of the</t>
  </si>
  <si>
    <t>previous month's purchases are paid in the current month</t>
  </si>
  <si>
    <t xml:space="preserve">required minimum cash balance of </t>
  </si>
  <si>
    <t>THE MINIMUM CASH BALANCE IS</t>
  </si>
  <si>
    <t xml:space="preserve">Decide in which month you will make a capital investment of </t>
  </si>
  <si>
    <t>and payoff any amount</t>
  </si>
  <si>
    <t>borrowed.</t>
  </si>
  <si>
    <t xml:space="preserve">Beginning Cash Balance </t>
  </si>
  <si>
    <t>Variances (flex. vs. actual)</t>
  </si>
  <si>
    <t>Input the spending variance</t>
  </si>
  <si>
    <t>Calculate the volume variance using the budgetted contribution margin</t>
  </si>
  <si>
    <t xml:space="preserve">   Master Budget vs. Actual Net Income Variance</t>
  </si>
  <si>
    <t>Selling:</t>
  </si>
  <si>
    <t>Admin</t>
  </si>
  <si>
    <t>Input a $.05 incremental variable selling costs due to the outsourcing decision</t>
  </si>
  <si>
    <r>
      <t xml:space="preserve">Sales units for a Target Profit of </t>
    </r>
    <r>
      <rPr>
        <b/>
        <sz val="11"/>
        <color rgb="FF002060"/>
        <rFont val="Calibri"/>
        <family val="2"/>
        <scheme val="minor"/>
      </rPr>
      <t>$200,000</t>
    </r>
    <r>
      <rPr>
        <sz val="11"/>
        <color theme="1"/>
        <rFont val="Calibri"/>
        <family val="2"/>
        <scheme val="minor"/>
      </rPr>
      <t xml:space="preserve"> </t>
    </r>
  </si>
  <si>
    <t>2 months ago (10%)</t>
  </si>
  <si>
    <t>Verify that the net income is the same as the Op Budget</t>
  </si>
  <si>
    <t>Input the forecast sale volume</t>
  </si>
  <si>
    <t>Input the number of pizza made per hour</t>
  </si>
  <si>
    <t>Input the sales commission as a % of revenue</t>
  </si>
  <si>
    <t>Input the sales manager's salary</t>
  </si>
  <si>
    <t>Input the office manager's salary</t>
  </si>
  <si>
    <t>Calculate the breakeven point in sales units</t>
  </si>
  <si>
    <t>Calculate the sales units needed to reach a</t>
  </si>
  <si>
    <t>$200,000 net income target,</t>
  </si>
  <si>
    <t>Input the planned product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</si>
</sst>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10"/>
    </xf>
    <xf numFmtId="0" fontId="0" fillId="0" borderId="0" xfId="0" applyAlignment="1">
      <alignment horizontal="left" indent="16"/>
    </xf>
    <xf numFmtId="0" fontId="0" fillId="0" borderId="1" xfId="0" applyBorder="1"/>
    <xf numFmtId="0" fontId="0" fillId="2" borderId="0" xfId="0" applyFill="1"/>
    <xf numFmtId="44" fontId="0" fillId="0" borderId="0" xfId="1" applyFont="1"/>
    <xf numFmtId="44" fontId="0" fillId="0" borderId="0" xfId="0" applyNumberFormat="1"/>
    <xf numFmtId="0" fontId="0" fillId="0" borderId="0" xfId="0" applyBorder="1"/>
    <xf numFmtId="0" fontId="0" fillId="0" borderId="0" xfId="0" applyAlignment="1">
      <alignment horizontal="left" vertical="top"/>
    </xf>
    <xf numFmtId="9" fontId="0" fillId="0" borderId="0" xfId="2" applyFont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6" fontId="0" fillId="0" borderId="0" xfId="0" applyNumberFormat="1"/>
    <xf numFmtId="43" fontId="0" fillId="0" borderId="0" xfId="3" applyFont="1"/>
    <xf numFmtId="43" fontId="0" fillId="0" borderId="1" xfId="3" applyFont="1" applyBorder="1"/>
    <xf numFmtId="0" fontId="0" fillId="2" borderId="2" xfId="0" applyFill="1" applyBorder="1"/>
    <xf numFmtId="0" fontId="0" fillId="0" borderId="0" xfId="0" applyFill="1" applyAlignment="1">
      <alignment horizontal="right"/>
    </xf>
    <xf numFmtId="164" fontId="0" fillId="0" borderId="0" xfId="1" applyNumberFormat="1" applyFont="1"/>
    <xf numFmtId="164" fontId="0" fillId="2" borderId="2" xfId="1" applyNumberFormat="1" applyFont="1" applyFill="1" applyBorder="1"/>
    <xf numFmtId="9" fontId="0" fillId="2" borderId="2" xfId="2" applyFont="1" applyFill="1" applyBorder="1"/>
    <xf numFmtId="9" fontId="0" fillId="2" borderId="3" xfId="2" applyFont="1" applyFill="1" applyBorder="1"/>
    <xf numFmtId="44" fontId="0" fillId="0" borderId="0" xfId="0" applyNumberFormat="1" applyFill="1" applyBorder="1" applyAlignment="1">
      <alignment horizontal="center"/>
    </xf>
    <xf numFmtId="44" fontId="0" fillId="0" borderId="5" xfId="0" applyNumberFormat="1" applyBorder="1"/>
    <xf numFmtId="165" fontId="0" fillId="2" borderId="2" xfId="3" applyNumberFormat="1" applyFont="1" applyFill="1" applyBorder="1"/>
    <xf numFmtId="165" fontId="0" fillId="0" borderId="0" xfId="3" applyNumberFormat="1" applyFont="1"/>
    <xf numFmtId="44" fontId="0" fillId="0" borderId="1" xfId="1" applyFont="1" applyFill="1" applyBorder="1"/>
    <xf numFmtId="44" fontId="0" fillId="0" borderId="1" xfId="1" applyFont="1" applyBorder="1"/>
    <xf numFmtId="44" fontId="0" fillId="0" borderId="0" xfId="0" applyNumberFormat="1" applyFill="1"/>
    <xf numFmtId="43" fontId="0" fillId="0" borderId="1" xfId="3" applyNumberFormat="1" applyFont="1" applyFill="1" applyBorder="1"/>
    <xf numFmtId="164" fontId="0" fillId="0" borderId="0" xfId="1" applyNumberFormat="1" applyFont="1" applyFill="1"/>
    <xf numFmtId="165" fontId="0" fillId="2" borderId="4" xfId="3" applyNumberFormat="1" applyFont="1" applyFill="1" applyBorder="1"/>
    <xf numFmtId="165" fontId="0" fillId="0" borderId="1" xfId="3" applyNumberFormat="1" applyFont="1" applyFill="1" applyBorder="1"/>
    <xf numFmtId="165" fontId="0" fillId="0" borderId="1" xfId="3" applyNumberFormat="1" applyFont="1" applyBorder="1"/>
    <xf numFmtId="164" fontId="0" fillId="0" borderId="6" xfId="1" applyNumberFormat="1" applyFont="1" applyBorder="1"/>
    <xf numFmtId="164" fontId="0" fillId="0" borderId="0" xfId="1" applyNumberFormat="1" applyFont="1" applyBorder="1"/>
    <xf numFmtId="0" fontId="3" fillId="0" borderId="0" xfId="0" applyFont="1" applyAlignment="1">
      <alignment horizontal="center"/>
    </xf>
    <xf numFmtId="164" fontId="0" fillId="0" borderId="0" xfId="0" applyNumberFormat="1"/>
    <xf numFmtId="165" fontId="0" fillId="2" borderId="3" xfId="3" applyNumberFormat="1" applyFont="1" applyFill="1" applyBorder="1"/>
    <xf numFmtId="164" fontId="0" fillId="0" borderId="1" xfId="1" applyNumberFormat="1" applyFont="1" applyBorder="1"/>
    <xf numFmtId="166" fontId="0" fillId="0" borderId="0" xfId="2" applyNumberFormat="1" applyFont="1"/>
    <xf numFmtId="165" fontId="0" fillId="2" borderId="7" xfId="3" applyNumberFormat="1" applyFont="1" applyFill="1" applyBorder="1"/>
    <xf numFmtId="165" fontId="0" fillId="0" borderId="0" xfId="0" applyNumberFormat="1"/>
    <xf numFmtId="164" fontId="0" fillId="0" borderId="8" xfId="0" applyNumberForma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3" applyNumberFormat="1" applyFont="1" applyFill="1" applyBorder="1"/>
    <xf numFmtId="44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165" fontId="5" fillId="0" borderId="0" xfId="3" applyNumberFormat="1" applyFont="1" applyFill="1" applyBorder="1"/>
    <xf numFmtId="43" fontId="5" fillId="0" borderId="0" xfId="0" applyNumberFormat="1" applyFont="1" applyFill="1" applyBorder="1"/>
    <xf numFmtId="164" fontId="5" fillId="0" borderId="0" xfId="0" applyNumberFormat="1" applyFont="1" applyFill="1" applyBorder="1"/>
    <xf numFmtId="44" fontId="5" fillId="0" borderId="0" xfId="0" applyNumberFormat="1" applyFont="1" applyFill="1" applyBorder="1"/>
    <xf numFmtId="0" fontId="4" fillId="0" borderId="0" xfId="0" applyFo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0" xfId="0" quotePrefix="1" applyFont="1"/>
    <xf numFmtId="0" fontId="4" fillId="0" borderId="0" xfId="0" applyFont="1" applyFill="1" applyBorder="1"/>
    <xf numFmtId="44" fontId="0" fillId="0" borderId="8" xfId="1" applyFont="1" applyBorder="1"/>
    <xf numFmtId="164" fontId="0" fillId="0" borderId="8" xfId="1" applyNumberFormat="1" applyFont="1" applyBorder="1"/>
    <xf numFmtId="0" fontId="2" fillId="0" borderId="0" xfId="0" applyFont="1"/>
    <xf numFmtId="9" fontId="4" fillId="0" borderId="0" xfId="2" applyFont="1"/>
    <xf numFmtId="0" fontId="6" fillId="0" borderId="0" xfId="0" applyFont="1"/>
    <xf numFmtId="0" fontId="7" fillId="0" borderId="0" xfId="0" applyFont="1"/>
    <xf numFmtId="43" fontId="0" fillId="2" borderId="2" xfId="0" quotePrefix="1" applyNumberFormat="1" applyFill="1" applyBorder="1"/>
    <xf numFmtId="167" fontId="0" fillId="0" borderId="0" xfId="1" applyNumberFormat="1" applyFont="1"/>
    <xf numFmtId="164" fontId="0" fillId="2" borderId="2" xfId="1" quotePrefix="1" applyNumberFormat="1" applyFont="1" applyFill="1" applyBorder="1"/>
    <xf numFmtId="9" fontId="0" fillId="2" borderId="2" xfId="0" quotePrefix="1" applyNumberFormat="1" applyFill="1" applyBorder="1"/>
    <xf numFmtId="165" fontId="0" fillId="0" borderId="1" xfId="0" applyNumberFormat="1" applyBorder="1"/>
    <xf numFmtId="165" fontId="4" fillId="2" borderId="9" xfId="3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9" fontId="0" fillId="2" borderId="2" xfId="0" applyNumberFormat="1" applyFill="1" applyBorder="1"/>
    <xf numFmtId="44" fontId="0" fillId="0" borderId="6" xfId="1" applyFont="1" applyBorder="1"/>
    <xf numFmtId="44" fontId="0" fillId="2" borderId="2" xfId="0" applyNumberFormat="1" applyFill="1" applyBorder="1"/>
    <xf numFmtId="43" fontId="0" fillId="2" borderId="2" xfId="0" applyNumberFormat="1" applyFill="1" applyBorder="1"/>
    <xf numFmtId="44" fontId="0" fillId="0" borderId="0" xfId="1" applyFont="1" applyFill="1"/>
    <xf numFmtId="0" fontId="0" fillId="0" borderId="0" xfId="0" quotePrefix="1"/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165" fontId="0" fillId="2" borderId="10" xfId="3" applyNumberFormat="1" applyFont="1" applyFill="1" applyBorder="1"/>
    <xf numFmtId="164" fontId="0" fillId="2" borderId="0" xfId="1" applyNumberFormat="1" applyFont="1" applyFill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5" xfId="3" applyNumberFormat="1" applyFont="1" applyBorder="1"/>
    <xf numFmtId="0" fontId="0" fillId="0" borderId="15" xfId="0" applyBorder="1"/>
    <xf numFmtId="164" fontId="0" fillId="0" borderId="14" xfId="0" applyNumberFormat="1" applyFill="1" applyBorder="1"/>
    <xf numFmtId="0" fontId="0" fillId="0" borderId="14" xfId="0" applyBorder="1"/>
    <xf numFmtId="165" fontId="0" fillId="0" borderId="14" xfId="0" applyNumberFormat="1" applyBorder="1"/>
    <xf numFmtId="44" fontId="0" fillId="0" borderId="15" xfId="1" applyNumberFormat="1" applyFont="1" applyBorder="1"/>
    <xf numFmtId="165" fontId="5" fillId="0" borderId="14" xfId="0" applyNumberFormat="1" applyFont="1" applyBorder="1"/>
    <xf numFmtId="43" fontId="5" fillId="0" borderId="13" xfId="3" applyFont="1" applyBorder="1"/>
    <xf numFmtId="164" fontId="5" fillId="0" borderId="14" xfId="0" applyNumberFormat="1" applyFont="1" applyFill="1" applyBorder="1"/>
    <xf numFmtId="44" fontId="5" fillId="0" borderId="15" xfId="0" applyNumberFormat="1" applyFont="1" applyFill="1" applyBorder="1"/>
    <xf numFmtId="44" fontId="0" fillId="0" borderId="15" xfId="0" applyNumberFormat="1" applyFill="1" applyBorder="1"/>
    <xf numFmtId="164" fontId="0" fillId="0" borderId="16" xfId="0" applyNumberFormat="1" applyBorder="1"/>
    <xf numFmtId="0" fontId="0" fillId="0" borderId="17" xfId="0" applyBorder="1"/>
    <xf numFmtId="43" fontId="5" fillId="0" borderId="0" xfId="3" applyFont="1" applyBorder="1"/>
    <xf numFmtId="165" fontId="0" fillId="2" borderId="7" xfId="0" applyNumberFormat="1" applyFill="1" applyBorder="1"/>
    <xf numFmtId="165" fontId="0" fillId="2" borderId="11" xfId="0" applyNumberFormat="1" applyFill="1" applyBorder="1"/>
    <xf numFmtId="165" fontId="0" fillId="0" borderId="14" xfId="3" applyNumberFormat="1" applyFont="1" applyBorder="1"/>
    <xf numFmtId="165" fontId="5" fillId="0" borderId="14" xfId="3" applyNumberFormat="1" applyFont="1" applyBorder="1"/>
    <xf numFmtId="0" fontId="0" fillId="0" borderId="5" xfId="0" applyBorder="1"/>
    <xf numFmtId="165" fontId="0" fillId="2" borderId="2" xfId="0" applyNumberFormat="1" applyFill="1" applyBorder="1"/>
    <xf numFmtId="165" fontId="2" fillId="0" borderId="0" xfId="3" applyNumberFormat="1" applyFont="1" applyFill="1" applyBorder="1"/>
    <xf numFmtId="165" fontId="0" fillId="2" borderId="3" xfId="0" applyNumberFormat="1" applyFill="1" applyBorder="1"/>
    <xf numFmtId="164" fontId="0" fillId="2" borderId="3" xfId="0" applyNumberFormat="1" applyFill="1" applyBorder="1"/>
    <xf numFmtId="164" fontId="0" fillId="0" borderId="18" xfId="0" applyNumberFormat="1" applyBorder="1"/>
    <xf numFmtId="8" fontId="0" fillId="2" borderId="2" xfId="1" applyNumberFormat="1" applyFont="1" applyFill="1" applyBorder="1"/>
    <xf numFmtId="44" fontId="4" fillId="0" borderId="0" xfId="1" applyFont="1"/>
    <xf numFmtId="43" fontId="0" fillId="2" borderId="3" xfId="3" applyNumberFormat="1" applyFont="1" applyFill="1" applyBorder="1"/>
    <xf numFmtId="165" fontId="4" fillId="0" borderId="0" xfId="3" quotePrefix="1" applyNumberFormat="1" applyFont="1"/>
    <xf numFmtId="0" fontId="9" fillId="0" borderId="0" xfId="0" applyFont="1" applyAlignment="1">
      <alignment horizontal="left" vertical="top"/>
    </xf>
    <xf numFmtId="0" fontId="9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91" zoomScaleNormal="91" workbookViewId="0">
      <selection activeCell="M12" sqref="M12"/>
    </sheetView>
  </sheetViews>
  <sheetFormatPr defaultRowHeight="15" x14ac:dyDescent="0.25"/>
  <cols>
    <col min="1" max="1" width="38.5703125" customWidth="1"/>
    <col min="2" max="4" width="13.42578125" bestFit="1" customWidth="1"/>
    <col min="5" max="5" width="14.28515625" bestFit="1" customWidth="1"/>
    <col min="6" max="6" width="5.28515625" customWidth="1"/>
    <col min="7" max="7" width="37.5703125" bestFit="1" customWidth="1"/>
    <col min="8" max="8" width="13.42578125" bestFit="1" customWidth="1"/>
    <col min="9" max="9" width="10.28515625" bestFit="1" customWidth="1"/>
    <col min="11" max="11" width="2.85546875" customWidth="1"/>
    <col min="12" max="12" width="3.85546875" bestFit="1" customWidth="1"/>
  </cols>
  <sheetData>
    <row r="1" spans="1:13" ht="15.75" x14ac:dyDescent="0.25">
      <c r="A1" s="128" t="s">
        <v>60</v>
      </c>
      <c r="B1" s="78"/>
      <c r="D1" s="13" t="s">
        <v>59</v>
      </c>
    </row>
    <row r="2" spans="1:13" x14ac:dyDescent="0.25">
      <c r="A2" s="10"/>
      <c r="C2" t="s">
        <v>126</v>
      </c>
    </row>
    <row r="3" spans="1:13" x14ac:dyDescent="0.25">
      <c r="A3" s="10"/>
    </row>
    <row r="4" spans="1:13" x14ac:dyDescent="0.25">
      <c r="B4" s="14" t="s">
        <v>0</v>
      </c>
      <c r="C4" s="15" t="s">
        <v>1</v>
      </c>
      <c r="D4" s="15" t="s">
        <v>76</v>
      </c>
      <c r="E4" s="15" t="s">
        <v>3</v>
      </c>
      <c r="L4" s="71" t="s">
        <v>73</v>
      </c>
      <c r="M4" t="s">
        <v>171</v>
      </c>
    </row>
    <row r="5" spans="1:13" ht="15.75" thickBot="1" x14ac:dyDescent="0.3">
      <c r="A5" t="s">
        <v>4</v>
      </c>
      <c r="H5" s="5" t="s">
        <v>127</v>
      </c>
      <c r="I5" s="5"/>
      <c r="L5" s="60" t="s">
        <v>98</v>
      </c>
      <c r="M5" t="s">
        <v>163</v>
      </c>
    </row>
    <row r="6" spans="1:13" ht="15.75" thickBot="1" x14ac:dyDescent="0.3">
      <c r="A6" s="6" t="s">
        <v>109</v>
      </c>
      <c r="B6" s="29"/>
      <c r="C6" s="29"/>
      <c r="D6" s="29"/>
      <c r="E6" s="30">
        <f>SUM(B6:D6)</f>
        <v>0</v>
      </c>
      <c r="I6" s="65" t="s">
        <v>73</v>
      </c>
      <c r="J6" s="12" t="s">
        <v>124</v>
      </c>
      <c r="L6" s="60" t="s">
        <v>101</v>
      </c>
      <c r="M6" t="s">
        <v>164</v>
      </c>
    </row>
    <row r="7" spans="1:13" ht="15.75" thickBot="1" x14ac:dyDescent="0.3">
      <c r="A7" s="22" t="s">
        <v>18</v>
      </c>
      <c r="B7" s="31">
        <f>J10</f>
        <v>0</v>
      </c>
      <c r="C7" s="31">
        <f>B7</f>
        <v>0</v>
      </c>
      <c r="D7" s="31">
        <f>C7</f>
        <v>0</v>
      </c>
      <c r="E7" s="5"/>
      <c r="G7" s="16" t="s">
        <v>63</v>
      </c>
      <c r="I7" s="85" t="s">
        <v>72</v>
      </c>
      <c r="J7" s="49" t="s">
        <v>125</v>
      </c>
      <c r="L7" s="71" t="s">
        <v>100</v>
      </c>
      <c r="M7" t="s">
        <v>165</v>
      </c>
    </row>
    <row r="8" spans="1:13" ht="15.75" thickBot="1" x14ac:dyDescent="0.3">
      <c r="A8" s="2" t="s">
        <v>6</v>
      </c>
      <c r="B8" s="23">
        <f>B6*B7</f>
        <v>0</v>
      </c>
      <c r="C8" s="23">
        <f t="shared" ref="C8:D8" si="0">C6*C7</f>
        <v>0</v>
      </c>
      <c r="D8" s="23">
        <f t="shared" si="0"/>
        <v>0</v>
      </c>
      <c r="E8" s="23">
        <f>SUM(B8:D8)</f>
        <v>0</v>
      </c>
      <c r="G8" s="16" t="s">
        <v>61</v>
      </c>
      <c r="H8" s="7">
        <v>10.5</v>
      </c>
      <c r="I8" s="25"/>
      <c r="J8" s="8">
        <f>H8*I8</f>
        <v>0</v>
      </c>
      <c r="L8" s="71" t="s">
        <v>105</v>
      </c>
      <c r="M8" t="s">
        <v>166</v>
      </c>
    </row>
    <row r="9" spans="1:13" ht="15.75" thickBot="1" x14ac:dyDescent="0.3">
      <c r="G9" s="16" t="s">
        <v>62</v>
      </c>
      <c r="H9" s="7">
        <v>8.5</v>
      </c>
      <c r="I9" s="26"/>
      <c r="J9" s="28">
        <f>H9*I9</f>
        <v>0</v>
      </c>
      <c r="L9" s="71" t="s">
        <v>77</v>
      </c>
      <c r="M9" t="s">
        <v>167</v>
      </c>
    </row>
    <row r="10" spans="1:13" x14ac:dyDescent="0.25">
      <c r="A10" t="s">
        <v>9</v>
      </c>
      <c r="I10" s="11">
        <f>SUM(I8:I9)</f>
        <v>0</v>
      </c>
      <c r="J10" s="27">
        <f>J8+J9</f>
        <v>0</v>
      </c>
      <c r="L10" s="71" t="s">
        <v>78</v>
      </c>
      <c r="M10" t="s">
        <v>168</v>
      </c>
    </row>
    <row r="11" spans="1:13" ht="15.75" thickBot="1" x14ac:dyDescent="0.3">
      <c r="A11" t="s">
        <v>7</v>
      </c>
      <c r="B11" s="33">
        <f>H14+H22</f>
        <v>2.5499999999999998</v>
      </c>
      <c r="C11" s="33">
        <f>B11</f>
        <v>2.5499999999999998</v>
      </c>
      <c r="D11" s="33">
        <f>C11</f>
        <v>2.5499999999999998</v>
      </c>
      <c r="G11" t="s">
        <v>74</v>
      </c>
      <c r="L11" s="71" t="s">
        <v>138</v>
      </c>
      <c r="M11" t="s">
        <v>169</v>
      </c>
    </row>
    <row r="12" spans="1:13" ht="15.75" thickBot="1" x14ac:dyDescent="0.3">
      <c r="A12" t="s">
        <v>8</v>
      </c>
      <c r="B12" s="34">
        <f>H25</f>
        <v>0</v>
      </c>
      <c r="C12" s="34">
        <f>B12</f>
        <v>0</v>
      </c>
      <c r="D12" s="34">
        <f>C12</f>
        <v>0</v>
      </c>
      <c r="G12" s="17" t="s">
        <v>134</v>
      </c>
      <c r="H12" s="29"/>
      <c r="M12" t="s">
        <v>170</v>
      </c>
    </row>
    <row r="13" spans="1:13" x14ac:dyDescent="0.25">
      <c r="A13" s="1" t="s">
        <v>15</v>
      </c>
      <c r="B13" s="32">
        <f>B11+B12</f>
        <v>2.5499999999999998</v>
      </c>
      <c r="C13" s="32">
        <f t="shared" ref="C13:D13" si="1">C11+C12</f>
        <v>2.5499999999999998</v>
      </c>
      <c r="D13" s="32">
        <f t="shared" si="1"/>
        <v>2.5499999999999998</v>
      </c>
      <c r="E13" s="38">
        <f>D13*E6</f>
        <v>0</v>
      </c>
      <c r="G13" s="16" t="s">
        <v>64</v>
      </c>
      <c r="H13" s="32">
        <v>12</v>
      </c>
    </row>
    <row r="14" spans="1:13" ht="15.75" thickBot="1" x14ac:dyDescent="0.3">
      <c r="A14" s="3" t="s">
        <v>14</v>
      </c>
      <c r="B14" s="23">
        <f>B8-(B6*B13)</f>
        <v>0</v>
      </c>
      <c r="C14" s="23">
        <f t="shared" ref="C14:D14" si="2">C8-(C6*C13)</f>
        <v>0</v>
      </c>
      <c r="D14" s="23">
        <f t="shared" si="2"/>
        <v>0</v>
      </c>
      <c r="E14" s="23">
        <f>E8-E13</f>
        <v>0</v>
      </c>
      <c r="G14" s="16" t="s">
        <v>71</v>
      </c>
      <c r="H14" s="87">
        <f>H13*H12/60</f>
        <v>0</v>
      </c>
    </row>
    <row r="15" spans="1:13" ht="15.75" thickTop="1" x14ac:dyDescent="0.25">
      <c r="A15" s="16" t="s">
        <v>89</v>
      </c>
      <c r="B15" s="8">
        <f>B7-B13</f>
        <v>-2.5499999999999998</v>
      </c>
      <c r="C15" s="8">
        <f t="shared" ref="C15:D15" si="3">C7-C13</f>
        <v>-2.5499999999999998</v>
      </c>
      <c r="D15" s="8">
        <f t="shared" si="3"/>
        <v>-2.5499999999999998</v>
      </c>
    </row>
    <row r="16" spans="1:13" x14ac:dyDescent="0.25">
      <c r="A16" s="16" t="s">
        <v>90</v>
      </c>
      <c r="B16" s="45" t="e">
        <f>B15/B7</f>
        <v>#DIV/0!</v>
      </c>
      <c r="C16" s="45" t="e">
        <f t="shared" ref="C16:D16" si="4">C15/C7</f>
        <v>#DIV/0!</v>
      </c>
      <c r="D16" s="45" t="e">
        <f t="shared" si="4"/>
        <v>#DIV/0!</v>
      </c>
      <c r="G16" t="s">
        <v>75</v>
      </c>
    </row>
    <row r="17" spans="1:9" ht="15.75" thickBot="1" x14ac:dyDescent="0.3">
      <c r="A17" t="s">
        <v>10</v>
      </c>
      <c r="G17" t="s">
        <v>65</v>
      </c>
      <c r="H17" s="7">
        <v>0.25</v>
      </c>
    </row>
    <row r="18" spans="1:9" ht="15.75" thickBot="1" x14ac:dyDescent="0.3">
      <c r="A18" s="6" t="s">
        <v>136</v>
      </c>
      <c r="B18" s="24"/>
      <c r="C18" s="35">
        <f>B18*1.05</f>
        <v>0</v>
      </c>
      <c r="D18" s="35">
        <f>C18*1.05</f>
        <v>0</v>
      </c>
      <c r="E18" s="23">
        <f>SUM(B18:D18)</f>
        <v>0</v>
      </c>
      <c r="G18" t="s">
        <v>66</v>
      </c>
      <c r="H18" s="19">
        <v>0.5</v>
      </c>
    </row>
    <row r="19" spans="1:9" x14ac:dyDescent="0.25">
      <c r="A19" s="6" t="s">
        <v>137</v>
      </c>
      <c r="B19" s="36"/>
      <c r="C19" s="37">
        <f>B19*1.05</f>
        <v>0</v>
      </c>
      <c r="D19" s="37">
        <f>C19*1.05</f>
        <v>0</v>
      </c>
      <c r="E19" s="38">
        <f>SUM(B19:D19)</f>
        <v>0</v>
      </c>
      <c r="G19" t="s">
        <v>67</v>
      </c>
      <c r="H19" s="19">
        <v>0.75</v>
      </c>
    </row>
    <row r="20" spans="1:9" x14ac:dyDescent="0.25">
      <c r="A20" s="2" t="s">
        <v>12</v>
      </c>
      <c r="B20" s="23">
        <f>B18+B19</f>
        <v>0</v>
      </c>
      <c r="C20" s="23">
        <f t="shared" ref="C20:E20" si="5">C18+C19</f>
        <v>0</v>
      </c>
      <c r="D20" s="23">
        <f t="shared" si="5"/>
        <v>0</v>
      </c>
      <c r="E20" s="23">
        <f t="shared" si="5"/>
        <v>0</v>
      </c>
      <c r="G20" t="s">
        <v>68</v>
      </c>
      <c r="H20" s="19">
        <v>1</v>
      </c>
    </row>
    <row r="21" spans="1:9" x14ac:dyDescent="0.25">
      <c r="B21" s="5"/>
      <c r="C21" s="5"/>
      <c r="D21" s="5"/>
      <c r="E21" s="5"/>
      <c r="G21" t="s">
        <v>69</v>
      </c>
      <c r="H21" s="20">
        <v>0.05</v>
      </c>
    </row>
    <row r="22" spans="1:9" ht="15.75" thickBot="1" x14ac:dyDescent="0.3">
      <c r="A22" s="4" t="s">
        <v>13</v>
      </c>
      <c r="B22" s="39">
        <f>B14-B20</f>
        <v>0</v>
      </c>
      <c r="C22" s="39">
        <f>C14-C20</f>
        <v>0</v>
      </c>
      <c r="D22" s="39">
        <f>D14-D20</f>
        <v>0</v>
      </c>
      <c r="E22" s="39">
        <f>E14-E20</f>
        <v>0</v>
      </c>
      <c r="G22" s="16" t="s">
        <v>70</v>
      </c>
      <c r="H22" s="87">
        <f>SUM(H17:H21)</f>
        <v>2.5499999999999998</v>
      </c>
    </row>
    <row r="23" spans="1:9" ht="16.5" thickTop="1" thickBot="1" x14ac:dyDescent="0.3"/>
    <row r="24" spans="1:9" ht="15.75" thickBot="1" x14ac:dyDescent="0.3">
      <c r="A24" s="6" t="s">
        <v>88</v>
      </c>
      <c r="B24" s="66"/>
      <c r="C24" s="127" t="s">
        <v>78</v>
      </c>
      <c r="E24" s="47"/>
      <c r="G24" s="6" t="s">
        <v>128</v>
      </c>
      <c r="H24" s="86"/>
      <c r="I24" s="7"/>
    </row>
    <row r="25" spans="1:9" ht="15.75" thickBot="1" x14ac:dyDescent="0.3">
      <c r="B25" s="12"/>
      <c r="C25" s="60"/>
      <c r="G25" s="16" t="s">
        <v>135</v>
      </c>
      <c r="H25" s="87">
        <f>J10*H24</f>
        <v>0</v>
      </c>
    </row>
    <row r="26" spans="1:9" ht="16.5" thickTop="1" thickBot="1" x14ac:dyDescent="0.3">
      <c r="A26" s="21" t="s">
        <v>160</v>
      </c>
      <c r="B26" s="66"/>
      <c r="C26" s="127" t="s">
        <v>138</v>
      </c>
      <c r="G26" s="16"/>
    </row>
    <row r="27" spans="1:9" x14ac:dyDescent="0.25">
      <c r="G27" s="1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85" zoomScaleNormal="85" workbookViewId="0">
      <selection activeCell="J21" sqref="J21"/>
    </sheetView>
  </sheetViews>
  <sheetFormatPr defaultRowHeight="15" x14ac:dyDescent="0.25"/>
  <cols>
    <col min="1" max="1" width="25.140625" customWidth="1"/>
    <col min="2" max="3" width="10" bestFit="1" customWidth="1"/>
    <col min="4" max="4" width="12.5703125" bestFit="1" customWidth="1"/>
    <col min="5" max="7" width="14.28515625" bestFit="1" customWidth="1"/>
    <col min="9" max="9" width="3.7109375" bestFit="1" customWidth="1"/>
    <col min="10" max="10" width="11" customWidth="1"/>
    <col min="11" max="11" width="13.42578125" bestFit="1" customWidth="1"/>
    <col min="12" max="13" width="10" bestFit="1" customWidth="1"/>
    <col min="14" max="14" width="10.140625" customWidth="1"/>
  </cols>
  <sheetData>
    <row r="1" spans="1:15" ht="15.75" x14ac:dyDescent="0.25">
      <c r="A1" s="129" t="s">
        <v>17</v>
      </c>
      <c r="B1" s="130" t="s">
        <v>139</v>
      </c>
      <c r="C1" s="130"/>
      <c r="D1" s="130" t="s">
        <v>140</v>
      </c>
      <c r="E1" s="130"/>
      <c r="F1" s="130"/>
      <c r="G1" s="130"/>
    </row>
    <row r="2" spans="1:15" x14ac:dyDescent="0.25">
      <c r="B2" s="49" t="s">
        <v>58</v>
      </c>
      <c r="C2" s="49" t="s">
        <v>26</v>
      </c>
      <c r="D2" s="14" t="s">
        <v>0</v>
      </c>
      <c r="E2" s="49" t="s">
        <v>1</v>
      </c>
      <c r="F2" s="49" t="s">
        <v>2</v>
      </c>
      <c r="G2" s="49" t="s">
        <v>3</v>
      </c>
    </row>
    <row r="3" spans="1:15" x14ac:dyDescent="0.25">
      <c r="A3" s="41" t="s">
        <v>19</v>
      </c>
      <c r="D3" s="9"/>
    </row>
    <row r="4" spans="1:15" x14ac:dyDescent="0.25">
      <c r="A4" t="s">
        <v>141</v>
      </c>
      <c r="B4" s="23">
        <v>300000</v>
      </c>
      <c r="C4" s="23">
        <v>200000</v>
      </c>
      <c r="D4" s="40">
        <f>'Operating Budget'!B8</f>
        <v>0</v>
      </c>
      <c r="E4" s="40">
        <f>'Operating Budget'!C8</f>
        <v>0</v>
      </c>
      <c r="F4" s="40">
        <f>'Operating Budget'!D8</f>
        <v>0</v>
      </c>
      <c r="G4" s="40">
        <f>'Operating Budget'!E8</f>
        <v>0</v>
      </c>
      <c r="I4" s="71" t="s">
        <v>73</v>
      </c>
      <c r="J4" t="s">
        <v>115</v>
      </c>
    </row>
    <row r="5" spans="1:15" ht="15.75" thickBot="1" x14ac:dyDescent="0.3">
      <c r="A5" s="6" t="s">
        <v>79</v>
      </c>
      <c r="I5" s="71" t="s">
        <v>98</v>
      </c>
      <c r="J5" t="s">
        <v>145</v>
      </c>
    </row>
    <row r="6" spans="1:15" ht="15.75" thickBot="1" x14ac:dyDescent="0.3">
      <c r="A6" t="s">
        <v>161</v>
      </c>
      <c r="D6" s="24"/>
      <c r="E6" s="24"/>
      <c r="F6" s="24">
        <f t="shared" ref="F6" si="0">D4*0.1</f>
        <v>0</v>
      </c>
      <c r="G6" s="30">
        <f>SUM(D6:F6)</f>
        <v>0</v>
      </c>
      <c r="J6" t="s">
        <v>146</v>
      </c>
    </row>
    <row r="7" spans="1:15" ht="15.75" thickBot="1" x14ac:dyDescent="0.3">
      <c r="A7" t="s">
        <v>86</v>
      </c>
      <c r="C7" s="92" t="s">
        <v>73</v>
      </c>
      <c r="D7" s="29"/>
      <c r="E7" s="29"/>
      <c r="F7" s="29">
        <f t="shared" ref="F7" si="1">E4*0.6</f>
        <v>0</v>
      </c>
      <c r="G7" s="30">
        <f t="shared" ref="G7:G8" si="2">SUM(D7:F7)</f>
        <v>0</v>
      </c>
      <c r="J7" s="130" t="s">
        <v>142</v>
      </c>
      <c r="K7" s="130"/>
      <c r="L7" s="130"/>
      <c r="M7" s="130"/>
    </row>
    <row r="8" spans="1:15" ht="15.75" thickBot="1" x14ac:dyDescent="0.3">
      <c r="A8" t="s">
        <v>87</v>
      </c>
      <c r="C8" s="93"/>
      <c r="D8" s="43">
        <f>D4*0.25</f>
        <v>0</v>
      </c>
      <c r="E8" s="43">
        <f t="shared" ref="E8:F8" si="3">E4*0.25</f>
        <v>0</v>
      </c>
      <c r="F8" s="43">
        <f t="shared" si="3"/>
        <v>0</v>
      </c>
      <c r="G8" s="38">
        <f t="shared" si="2"/>
        <v>0</v>
      </c>
      <c r="J8" s="67" t="s">
        <v>143</v>
      </c>
      <c r="K8" s="67" t="s">
        <v>144</v>
      </c>
      <c r="L8" s="67" t="s">
        <v>94</v>
      </c>
      <c r="M8" s="67" t="s">
        <v>2</v>
      </c>
    </row>
    <row r="9" spans="1:15" x14ac:dyDescent="0.25">
      <c r="A9" s="16" t="s">
        <v>80</v>
      </c>
      <c r="C9" s="93"/>
      <c r="D9" s="23">
        <f>SUM(D6:D8)</f>
        <v>0</v>
      </c>
      <c r="E9" s="23">
        <f t="shared" ref="E9:F9" si="4">SUM(E6:E8)</f>
        <v>0</v>
      </c>
      <c r="F9" s="23">
        <f t="shared" si="4"/>
        <v>0</v>
      </c>
      <c r="G9" s="23">
        <f>SUM(G6:G8)</f>
        <v>0</v>
      </c>
      <c r="J9" s="42" t="e">
        <f>('Cash Budget'!C4/'Operating Budget'!J10)*'Operating Budget'!H22</f>
        <v>#DIV/0!</v>
      </c>
      <c r="K9" s="42">
        <f>'Operating Budget'!B6*'Operating Budget'!$H$22</f>
        <v>0</v>
      </c>
      <c r="L9" s="42">
        <f>'Operating Budget'!C6*'Operating Budget'!$H$22</f>
        <v>0</v>
      </c>
      <c r="M9" s="42">
        <f>'Operating Budget'!D6*'Operating Budget'!$H$22</f>
        <v>0</v>
      </c>
    </row>
    <row r="10" spans="1:15" ht="15.75" thickBot="1" x14ac:dyDescent="0.3">
      <c r="A10" s="41" t="s">
        <v>20</v>
      </c>
      <c r="C10" s="93"/>
    </row>
    <row r="11" spans="1:15" ht="15.75" thickBot="1" x14ac:dyDescent="0.3">
      <c r="A11" t="s">
        <v>81</v>
      </c>
      <c r="B11" s="91"/>
      <c r="C11" s="92" t="s">
        <v>98</v>
      </c>
      <c r="D11" s="94"/>
      <c r="E11" s="29">
        <f>K9/2+L9/2</f>
        <v>0</v>
      </c>
      <c r="F11" s="46">
        <f>L9/2+M9/2</f>
        <v>0</v>
      </c>
      <c r="G11" s="30">
        <f t="shared" ref="G11:G13" si="5">SUM(D11:F11)</f>
        <v>0</v>
      </c>
      <c r="I11" s="71" t="s">
        <v>101</v>
      </c>
      <c r="J11" t="s">
        <v>149</v>
      </c>
      <c r="O11" s="18">
        <v>300000</v>
      </c>
    </row>
    <row r="12" spans="1:15" x14ac:dyDescent="0.25">
      <c r="A12" t="s">
        <v>91</v>
      </c>
      <c r="B12" s="91"/>
      <c r="C12" s="92"/>
      <c r="D12" s="30">
        <f>'Operating Budget'!B18+('Operating Budget'!B6*'Operating Budget'!$B$12)</f>
        <v>0</v>
      </c>
      <c r="E12" s="30">
        <f>'Operating Budget'!C18+('Operating Budget'!C6*'Operating Budget'!$B$12)</f>
        <v>0</v>
      </c>
      <c r="F12" s="30">
        <f>'Operating Budget'!D18+('Operating Budget'!D6*'Operating Budget'!$B$12)</f>
        <v>0</v>
      </c>
      <c r="G12" s="30">
        <f t="shared" si="5"/>
        <v>0</v>
      </c>
      <c r="I12" s="71" t="s">
        <v>100</v>
      </c>
      <c r="J12" t="s">
        <v>116</v>
      </c>
    </row>
    <row r="13" spans="1:15" x14ac:dyDescent="0.25">
      <c r="A13" t="s">
        <v>92</v>
      </c>
      <c r="B13" s="91"/>
      <c r="C13" s="92"/>
      <c r="D13" s="38">
        <f>'Operating Budget'!B19</f>
        <v>0</v>
      </c>
      <c r="E13" s="38">
        <f>'Operating Budget'!C19</f>
        <v>0</v>
      </c>
      <c r="F13" s="38">
        <f>'Operating Budget'!D19</f>
        <v>0</v>
      </c>
      <c r="G13" s="38">
        <f t="shared" si="5"/>
        <v>0</v>
      </c>
      <c r="J13" t="s">
        <v>147</v>
      </c>
      <c r="M13" s="23">
        <f>C28</f>
        <v>75000</v>
      </c>
      <c r="N13" t="s">
        <v>150</v>
      </c>
    </row>
    <row r="14" spans="1:15" x14ac:dyDescent="0.25">
      <c r="A14" t="s">
        <v>82</v>
      </c>
      <c r="D14" s="44">
        <f>SUM(D11:D13)</f>
        <v>0</v>
      </c>
      <c r="E14" s="44">
        <f t="shared" ref="E14:G14" si="6">SUM(E11:E13)</f>
        <v>0</v>
      </c>
      <c r="F14" s="44">
        <f t="shared" si="6"/>
        <v>0</v>
      </c>
      <c r="G14" s="44">
        <f t="shared" si="6"/>
        <v>0</v>
      </c>
      <c r="J14" t="s">
        <v>151</v>
      </c>
    </row>
    <row r="15" spans="1:15" x14ac:dyDescent="0.25">
      <c r="A15" s="16" t="s">
        <v>21</v>
      </c>
      <c r="D15" s="42">
        <f>D9-D14</f>
        <v>0</v>
      </c>
      <c r="E15" s="42">
        <f t="shared" ref="E15:G15" si="7">E9-E14</f>
        <v>0</v>
      </c>
      <c r="F15" s="42">
        <f t="shared" si="7"/>
        <v>0</v>
      </c>
      <c r="G15" s="42">
        <f t="shared" si="7"/>
        <v>0</v>
      </c>
    </row>
    <row r="17" spans="1:7" ht="15.75" thickBot="1" x14ac:dyDescent="0.3">
      <c r="A17" s="6" t="s">
        <v>22</v>
      </c>
    </row>
    <row r="18" spans="1:7" ht="15.75" thickBot="1" x14ac:dyDescent="0.3">
      <c r="A18" t="s">
        <v>85</v>
      </c>
      <c r="C18" s="92" t="s">
        <v>101</v>
      </c>
      <c r="D18" s="29"/>
      <c r="E18" s="29"/>
      <c r="F18" s="46"/>
      <c r="G18" s="30">
        <f>SUM(D18:F18)</f>
        <v>0</v>
      </c>
    </row>
    <row r="19" spans="1:7" x14ac:dyDescent="0.25">
      <c r="D19" s="30"/>
      <c r="E19" s="30"/>
      <c r="F19" s="30"/>
    </row>
    <row r="20" spans="1:7" ht="15.75" thickBot="1" x14ac:dyDescent="0.3">
      <c r="A20" s="6" t="s">
        <v>23</v>
      </c>
      <c r="D20" s="30"/>
      <c r="E20" s="30"/>
      <c r="F20" s="30"/>
    </row>
    <row r="21" spans="1:7" ht="15.75" thickBot="1" x14ac:dyDescent="0.3">
      <c r="A21" t="s">
        <v>83</v>
      </c>
      <c r="C21" s="92" t="s">
        <v>100</v>
      </c>
      <c r="D21" s="29"/>
      <c r="E21" s="29"/>
      <c r="F21" s="29"/>
      <c r="G21" s="30">
        <f>SUM(D21:F21)</f>
        <v>0</v>
      </c>
    </row>
    <row r="22" spans="1:7" ht="15.75" thickBot="1" x14ac:dyDescent="0.3">
      <c r="A22" t="s">
        <v>84</v>
      </c>
      <c r="D22" s="43"/>
      <c r="E22" s="43"/>
      <c r="F22" s="43"/>
      <c r="G22" s="30">
        <f t="shared" ref="G22" si="8">SUM(D22:F22)</f>
        <v>0</v>
      </c>
    </row>
    <row r="23" spans="1:7" x14ac:dyDescent="0.25">
      <c r="D23" s="5"/>
      <c r="E23" s="5"/>
      <c r="F23" s="5"/>
      <c r="G23" s="5"/>
    </row>
    <row r="24" spans="1:7" x14ac:dyDescent="0.25">
      <c r="A24" t="s">
        <v>24</v>
      </c>
      <c r="D24" s="23">
        <f>D15+D18+D21+D22</f>
        <v>0</v>
      </c>
      <c r="E24" s="23">
        <f>E15+E18+E21+E22</f>
        <v>0</v>
      </c>
      <c r="F24" s="23">
        <f>F15+F18+F21+F22</f>
        <v>0</v>
      </c>
      <c r="G24" s="23">
        <f>G15+G18+G21+G22</f>
        <v>0</v>
      </c>
    </row>
    <row r="25" spans="1:7" x14ac:dyDescent="0.25">
      <c r="A25" t="s">
        <v>152</v>
      </c>
      <c r="D25" s="38">
        <v>75000</v>
      </c>
      <c r="E25" s="38">
        <f>D26</f>
        <v>75000</v>
      </c>
      <c r="F25" s="38">
        <f>E26</f>
        <v>75000</v>
      </c>
      <c r="G25" s="38">
        <f>D25</f>
        <v>75000</v>
      </c>
    </row>
    <row r="26" spans="1:7" x14ac:dyDescent="0.25">
      <c r="A26" t="s">
        <v>25</v>
      </c>
      <c r="D26" s="23">
        <f>D25+D24</f>
        <v>75000</v>
      </c>
      <c r="E26" s="23">
        <f t="shared" ref="E26:G26" si="9">E25+E24</f>
        <v>75000</v>
      </c>
      <c r="F26" s="23">
        <f t="shared" si="9"/>
        <v>75000</v>
      </c>
      <c r="G26" s="23">
        <f t="shared" si="9"/>
        <v>75000</v>
      </c>
    </row>
    <row r="28" spans="1:7" x14ac:dyDescent="0.25">
      <c r="A28" s="6" t="s">
        <v>148</v>
      </c>
      <c r="B28" s="6"/>
      <c r="C28" s="95">
        <v>75000</v>
      </c>
    </row>
  </sheetData>
  <mergeCells count="3">
    <mergeCell ref="B1:C1"/>
    <mergeCell ref="D1:G1"/>
    <mergeCell ref="J7:M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" workbookViewId="0">
      <selection activeCell="G26" sqref="G26"/>
    </sheetView>
  </sheetViews>
  <sheetFormatPr defaultRowHeight="15" x14ac:dyDescent="0.25"/>
  <cols>
    <col min="1" max="1" width="33" bestFit="1" customWidth="1"/>
    <col min="2" max="2" width="14.28515625" bestFit="1" customWidth="1"/>
    <col min="3" max="3" width="10.28515625" customWidth="1"/>
    <col min="4" max="4" width="10.5703125" bestFit="1" customWidth="1"/>
    <col min="6" max="6" width="2.85546875" customWidth="1"/>
    <col min="7" max="7" width="11.5703125" bestFit="1" customWidth="1"/>
    <col min="9" max="9" width="4.28515625" customWidth="1"/>
    <col min="10" max="10" width="11.28515625" bestFit="1" customWidth="1"/>
    <col min="11" max="11" width="14.5703125" customWidth="1"/>
    <col min="13" max="13" width="3.5703125" customWidth="1"/>
  </cols>
  <sheetData>
    <row r="1" spans="1:14" x14ac:dyDescent="0.25">
      <c r="A1" t="s">
        <v>16</v>
      </c>
    </row>
    <row r="2" spans="1:14" ht="15.75" thickBot="1" x14ac:dyDescent="0.3">
      <c r="A2" s="77" t="s">
        <v>129</v>
      </c>
    </row>
    <row r="3" spans="1:14" x14ac:dyDescent="0.25">
      <c r="B3" s="131" t="s">
        <v>27</v>
      </c>
      <c r="C3" s="131"/>
      <c r="D3" s="132" t="s">
        <v>28</v>
      </c>
      <c r="E3" s="133"/>
      <c r="F3" s="14"/>
      <c r="G3" s="131" t="s">
        <v>29</v>
      </c>
      <c r="H3" s="131"/>
      <c r="I3" s="15"/>
      <c r="J3" s="134" t="s">
        <v>153</v>
      </c>
      <c r="K3" s="134"/>
      <c r="M3" s="60" t="s">
        <v>73</v>
      </c>
      <c r="N3" t="s">
        <v>162</v>
      </c>
    </row>
    <row r="4" spans="1:14" x14ac:dyDescent="0.25">
      <c r="A4" t="s">
        <v>4</v>
      </c>
      <c r="B4" s="50" t="s">
        <v>94</v>
      </c>
      <c r="C4" s="50" t="s">
        <v>95</v>
      </c>
      <c r="D4" s="96" t="s">
        <v>94</v>
      </c>
      <c r="E4" s="97" t="s">
        <v>95</v>
      </c>
      <c r="F4" s="68"/>
      <c r="G4" s="50" t="s">
        <v>94</v>
      </c>
      <c r="H4" s="50" t="s">
        <v>95</v>
      </c>
      <c r="I4" s="50"/>
      <c r="J4" s="50" t="s">
        <v>108</v>
      </c>
      <c r="K4" s="50" t="s">
        <v>95</v>
      </c>
      <c r="M4" s="64" t="s">
        <v>98</v>
      </c>
      <c r="N4" s="61" t="s">
        <v>99</v>
      </c>
    </row>
    <row r="5" spans="1:14" ht="15.75" thickBot="1" x14ac:dyDescent="0.3">
      <c r="B5" s="12"/>
      <c r="C5" s="12"/>
      <c r="D5" s="98"/>
      <c r="E5" s="99"/>
      <c r="F5" s="70"/>
      <c r="G5" s="12"/>
      <c r="H5" s="12"/>
      <c r="I5" s="12"/>
      <c r="J5" s="12"/>
      <c r="K5" s="12"/>
      <c r="M5" s="64" t="s">
        <v>101</v>
      </c>
      <c r="N5" t="s">
        <v>102</v>
      </c>
    </row>
    <row r="6" spans="1:14" ht="18" thickBot="1" x14ac:dyDescent="0.45">
      <c r="A6" t="s">
        <v>5</v>
      </c>
      <c r="B6" s="56">
        <f>'Operating Budget'!C6</f>
        <v>0</v>
      </c>
      <c r="C6" s="52">
        <f>'Operating Budget'!C7</f>
        <v>0</v>
      </c>
      <c r="D6" s="100">
        <v>35000</v>
      </c>
      <c r="E6" s="101">
        <v>9.85</v>
      </c>
      <c r="F6" s="101"/>
      <c r="G6" s="114"/>
      <c r="H6" s="88"/>
      <c r="I6" s="60" t="s">
        <v>98</v>
      </c>
      <c r="K6" s="88"/>
      <c r="L6" s="60" t="s">
        <v>77</v>
      </c>
      <c r="M6" s="60"/>
      <c r="N6" t="s">
        <v>103</v>
      </c>
    </row>
    <row r="7" spans="1:14" x14ac:dyDescent="0.25">
      <c r="A7" s="2" t="s">
        <v>6</v>
      </c>
      <c r="B7" s="53">
        <f>B6*C6</f>
        <v>0</v>
      </c>
      <c r="C7" s="54"/>
      <c r="D7" s="102">
        <f>D6*E6</f>
        <v>344750</v>
      </c>
      <c r="E7" s="101"/>
      <c r="F7" s="9"/>
      <c r="G7" s="53"/>
      <c r="J7" s="53">
        <f>$K$6*G6</f>
        <v>0</v>
      </c>
      <c r="M7" s="60" t="s">
        <v>100</v>
      </c>
      <c r="N7" t="s">
        <v>104</v>
      </c>
    </row>
    <row r="8" spans="1:14" x14ac:dyDescent="0.25">
      <c r="B8" s="54"/>
      <c r="C8" s="54"/>
      <c r="D8" s="103"/>
      <c r="E8" s="101"/>
      <c r="F8" s="9"/>
      <c r="M8" s="60" t="s">
        <v>105</v>
      </c>
      <c r="N8" t="s">
        <v>106</v>
      </c>
    </row>
    <row r="9" spans="1:14" ht="15.75" thickBot="1" x14ac:dyDescent="0.3">
      <c r="A9" t="s">
        <v>96</v>
      </c>
      <c r="B9" s="54"/>
      <c r="C9" s="54"/>
      <c r="D9" s="103"/>
      <c r="E9" s="101"/>
      <c r="F9" s="9"/>
      <c r="M9" s="60" t="s">
        <v>77</v>
      </c>
      <c r="N9" t="s">
        <v>107</v>
      </c>
    </row>
    <row r="10" spans="1:14" ht="15.75" thickBot="1" x14ac:dyDescent="0.3">
      <c r="A10" t="s">
        <v>7</v>
      </c>
      <c r="B10" s="55">
        <f>$B$6*C10</f>
        <v>0</v>
      </c>
      <c r="C10" s="52">
        <f>'Operating Budget'!C11</f>
        <v>2.5499999999999998</v>
      </c>
      <c r="D10" s="104">
        <f>D6*E10</f>
        <v>190750</v>
      </c>
      <c r="E10" s="105">
        <v>5.45</v>
      </c>
      <c r="F10" s="105"/>
      <c r="G10" s="46"/>
      <c r="H10" s="88"/>
      <c r="I10" s="62" t="s">
        <v>101</v>
      </c>
      <c r="J10" s="55">
        <f>$G$6*K10</f>
        <v>0</v>
      </c>
      <c r="K10" s="88"/>
      <c r="L10" s="60" t="s">
        <v>77</v>
      </c>
      <c r="M10" s="60" t="s">
        <v>78</v>
      </c>
      <c r="N10" t="s">
        <v>154</v>
      </c>
    </row>
    <row r="11" spans="1:14" ht="18" thickBot="1" x14ac:dyDescent="0.45">
      <c r="A11" t="s">
        <v>8</v>
      </c>
      <c r="B11" s="56">
        <f>$B$6*C11</f>
        <v>0</v>
      </c>
      <c r="C11" s="57">
        <f>'Operating Budget'!B12</f>
        <v>0</v>
      </c>
      <c r="D11" s="106">
        <f>E11*D6</f>
        <v>3850</v>
      </c>
      <c r="E11" s="107">
        <v>0.11</v>
      </c>
      <c r="F11" s="113"/>
      <c r="G11" s="120"/>
      <c r="H11" s="89"/>
      <c r="I11" s="60" t="s">
        <v>100</v>
      </c>
      <c r="J11" s="63">
        <f>K11*$G$6</f>
        <v>0</v>
      </c>
      <c r="K11" s="89"/>
      <c r="L11" s="60" t="s">
        <v>77</v>
      </c>
      <c r="M11" s="60" t="s">
        <v>138</v>
      </c>
      <c r="N11" t="s">
        <v>155</v>
      </c>
    </row>
    <row r="12" spans="1:14" ht="17.25" x14ac:dyDescent="0.4">
      <c r="A12" s="1" t="s">
        <v>93</v>
      </c>
      <c r="B12" s="58">
        <f t="shared" ref="B12:H12" si="0">B10+B11</f>
        <v>0</v>
      </c>
      <c r="C12" s="59">
        <f t="shared" si="0"/>
        <v>2.5499999999999998</v>
      </c>
      <c r="D12" s="108">
        <f t="shared" si="0"/>
        <v>194600</v>
      </c>
      <c r="E12" s="109">
        <f t="shared" si="0"/>
        <v>5.5600000000000005</v>
      </c>
      <c r="F12" s="59"/>
      <c r="G12" s="58">
        <f t="shared" si="0"/>
        <v>0</v>
      </c>
      <c r="H12" s="59">
        <f t="shared" si="0"/>
        <v>0</v>
      </c>
      <c r="I12" s="59"/>
      <c r="J12" s="58">
        <f>J10+J11</f>
        <v>0</v>
      </c>
      <c r="K12" s="59">
        <f>K10+K11</f>
        <v>0</v>
      </c>
    </row>
    <row r="13" spans="1:14" x14ac:dyDescent="0.25">
      <c r="A13" s="1"/>
      <c r="B13" s="53"/>
      <c r="C13" s="52"/>
      <c r="D13" s="102"/>
      <c r="E13" s="110"/>
      <c r="F13" s="52"/>
    </row>
    <row r="14" spans="1:14" x14ac:dyDescent="0.25">
      <c r="A14" s="3" t="s">
        <v>14</v>
      </c>
      <c r="B14" s="53">
        <f>B7-B12</f>
        <v>0</v>
      </c>
      <c r="C14" s="52">
        <f>C6-C12</f>
        <v>-2.5499999999999998</v>
      </c>
      <c r="D14" s="102">
        <f>D7-D12</f>
        <v>150150</v>
      </c>
      <c r="E14" s="110">
        <f>E6-E12</f>
        <v>4.2899999999999991</v>
      </c>
      <c r="F14" s="52"/>
      <c r="G14" s="53">
        <f>G7-G12</f>
        <v>0</v>
      </c>
      <c r="H14" s="52">
        <f>H6-H12</f>
        <v>0</v>
      </c>
      <c r="I14" s="52"/>
      <c r="J14" s="53">
        <f>J7+J12</f>
        <v>0</v>
      </c>
      <c r="K14" s="52">
        <f>K6+K12</f>
        <v>0</v>
      </c>
    </row>
    <row r="15" spans="1:14" x14ac:dyDescent="0.25">
      <c r="B15" s="54"/>
      <c r="C15" s="54"/>
      <c r="D15" s="103"/>
      <c r="E15" s="101"/>
      <c r="F15" s="9"/>
    </row>
    <row r="16" spans="1:14" ht="15.75" thickBot="1" x14ac:dyDescent="0.3">
      <c r="A16" t="s">
        <v>97</v>
      </c>
      <c r="B16" s="54"/>
      <c r="C16" s="54"/>
      <c r="D16" s="103"/>
      <c r="E16" s="101"/>
      <c r="F16" s="9"/>
    </row>
    <row r="17" spans="1:12" ht="15.75" thickBot="1" x14ac:dyDescent="0.3">
      <c r="A17" t="s">
        <v>8</v>
      </c>
      <c r="B17" s="51">
        <f>'Operating Budget'!C18</f>
        <v>0</v>
      </c>
      <c r="C17" s="54"/>
      <c r="D17" s="116">
        <v>60000</v>
      </c>
      <c r="E17" s="101"/>
      <c r="F17" s="101"/>
      <c r="G17" s="115">
        <f>B17</f>
        <v>0</v>
      </c>
      <c r="H17" s="60" t="s">
        <v>105</v>
      </c>
      <c r="J17" s="119"/>
      <c r="L17" s="60" t="s">
        <v>77</v>
      </c>
    </row>
    <row r="18" spans="1:12" ht="18" thickBot="1" x14ac:dyDescent="0.45">
      <c r="A18" t="s">
        <v>11</v>
      </c>
      <c r="B18" s="56">
        <f>'Operating Budget'!C19</f>
        <v>0</v>
      </c>
      <c r="C18" s="54"/>
      <c r="D18" s="117">
        <v>58500</v>
      </c>
      <c r="E18" s="101"/>
      <c r="F18" s="101"/>
      <c r="G18" s="114">
        <f>B18</f>
        <v>0</v>
      </c>
      <c r="H18" s="60" t="s">
        <v>105</v>
      </c>
      <c r="J18" s="121"/>
      <c r="L18" s="60" t="s">
        <v>77</v>
      </c>
    </row>
    <row r="19" spans="1:12" x14ac:dyDescent="0.25">
      <c r="A19" s="2" t="s">
        <v>12</v>
      </c>
      <c r="B19" s="47">
        <f>B17+B18</f>
        <v>0</v>
      </c>
      <c r="D19" s="104">
        <f>D17+D18</f>
        <v>118500</v>
      </c>
      <c r="E19" s="101"/>
      <c r="F19" s="9"/>
      <c r="G19" s="47">
        <f>G17+G18</f>
        <v>0</v>
      </c>
      <c r="J19" s="47">
        <f>J17+J18</f>
        <v>0</v>
      </c>
    </row>
    <row r="20" spans="1:12" x14ac:dyDescent="0.25">
      <c r="B20" s="5"/>
      <c r="D20" s="118"/>
      <c r="E20" s="101"/>
      <c r="F20" s="9"/>
      <c r="G20" s="5"/>
      <c r="J20" s="5"/>
    </row>
    <row r="21" spans="1:12" ht="15.75" thickBot="1" x14ac:dyDescent="0.3">
      <c r="A21" s="4" t="s">
        <v>13</v>
      </c>
      <c r="B21" s="48">
        <f>B14-B19</f>
        <v>0</v>
      </c>
      <c r="C21" s="60" t="s">
        <v>73</v>
      </c>
      <c r="D21" s="111">
        <f>D14-D19</f>
        <v>31650</v>
      </c>
      <c r="E21" s="112"/>
      <c r="F21" s="9"/>
      <c r="G21" s="48">
        <f>G14-G19</f>
        <v>0</v>
      </c>
      <c r="J21" s="122">
        <f>J14+J19</f>
        <v>0</v>
      </c>
      <c r="L21" s="60" t="s">
        <v>77</v>
      </c>
    </row>
    <row r="22" spans="1:12" ht="15.75" thickTop="1" x14ac:dyDescent="0.25"/>
    <row r="23" spans="1:12" ht="15.75" thickBot="1" x14ac:dyDescent="0.3">
      <c r="A23" t="s">
        <v>156</v>
      </c>
      <c r="C23" s="48">
        <f>D21-B21</f>
        <v>31650</v>
      </c>
    </row>
    <row r="24" spans="1:12" ht="16.5" thickTop="1" thickBot="1" x14ac:dyDescent="0.3">
      <c r="A24" t="s">
        <v>30</v>
      </c>
      <c r="B24" s="24"/>
      <c r="C24" s="60" t="s">
        <v>78</v>
      </c>
    </row>
    <row r="25" spans="1:12" ht="15.75" thickBot="1" x14ac:dyDescent="0.3">
      <c r="A25" t="s">
        <v>31</v>
      </c>
      <c r="B25" s="122">
        <f>J21</f>
        <v>0</v>
      </c>
      <c r="C25" s="60" t="s">
        <v>138</v>
      </c>
    </row>
    <row r="26" spans="1:12" ht="15.75" thickBot="1" x14ac:dyDescent="0.3">
      <c r="B26" s="123">
        <f>B24+B25</f>
        <v>0</v>
      </c>
    </row>
    <row r="27" spans="1:12" ht="15.75" thickTop="1" x14ac:dyDescent="0.25"/>
  </sheetData>
  <mergeCells count="4">
    <mergeCell ref="B3:C3"/>
    <mergeCell ref="D3:E3"/>
    <mergeCell ref="G3:H3"/>
    <mergeCell ref="J3:K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15" sqref="H15"/>
    </sheetView>
  </sheetViews>
  <sheetFormatPr defaultRowHeight="15" x14ac:dyDescent="0.25"/>
  <cols>
    <col min="1" max="1" width="33" bestFit="1" customWidth="1"/>
    <col min="2" max="2" width="11.5703125" bestFit="1" customWidth="1"/>
    <col min="4" max="4" width="11.5703125" bestFit="1" customWidth="1"/>
    <col min="7" max="7" width="4.140625" customWidth="1"/>
  </cols>
  <sheetData>
    <row r="1" spans="1:11" x14ac:dyDescent="0.25">
      <c r="A1" s="77" t="s">
        <v>32</v>
      </c>
    </row>
    <row r="3" spans="1:11" x14ac:dyDescent="0.25">
      <c r="B3" s="135" t="s">
        <v>27</v>
      </c>
      <c r="C3" s="135"/>
      <c r="D3" s="135" t="s">
        <v>33</v>
      </c>
      <c r="E3" s="135"/>
      <c r="G3" s="60" t="s">
        <v>73</v>
      </c>
      <c r="H3" t="s">
        <v>130</v>
      </c>
    </row>
    <row r="4" spans="1:11" ht="15.75" thickBot="1" x14ac:dyDescent="0.3">
      <c r="B4" s="136" t="s">
        <v>57</v>
      </c>
      <c r="C4" s="130"/>
      <c r="D4" s="130" t="s">
        <v>57</v>
      </c>
      <c r="E4" s="130"/>
      <c r="G4" s="71" t="s">
        <v>98</v>
      </c>
      <c r="H4" t="s">
        <v>131</v>
      </c>
    </row>
    <row r="5" spans="1:11" ht="15.75" thickBot="1" x14ac:dyDescent="0.3">
      <c r="A5" s="16" t="s">
        <v>110</v>
      </c>
      <c r="B5" s="29">
        <f>'Operating Budget'!E6</f>
        <v>0</v>
      </c>
      <c r="C5" s="71" t="s">
        <v>73</v>
      </c>
      <c r="G5" s="71" t="s">
        <v>101</v>
      </c>
      <c r="H5" t="s">
        <v>132</v>
      </c>
    </row>
    <row r="6" spans="1:11" ht="15.75" thickBot="1" x14ac:dyDescent="0.3">
      <c r="A6" t="s">
        <v>9</v>
      </c>
      <c r="G6" s="71" t="s">
        <v>100</v>
      </c>
      <c r="H6" t="s">
        <v>111</v>
      </c>
    </row>
    <row r="7" spans="1:11" ht="15.75" thickBot="1" x14ac:dyDescent="0.3">
      <c r="A7" t="s">
        <v>7</v>
      </c>
      <c r="B7" s="88"/>
      <c r="C7" s="71" t="s">
        <v>98</v>
      </c>
      <c r="D7" s="124"/>
      <c r="E7" s="71" t="s">
        <v>105</v>
      </c>
      <c r="G7" s="71" t="s">
        <v>105</v>
      </c>
      <c r="H7" t="s">
        <v>112</v>
      </c>
      <c r="K7" s="125">
        <v>7.5</v>
      </c>
    </row>
    <row r="8" spans="1:11" ht="15.75" thickBot="1" x14ac:dyDescent="0.3">
      <c r="A8" t="s">
        <v>8</v>
      </c>
      <c r="B8" s="89">
        <f>'Operating Budget'!B12</f>
        <v>0</v>
      </c>
      <c r="C8" s="71" t="s">
        <v>101</v>
      </c>
      <c r="D8" s="126"/>
      <c r="E8" s="71" t="s">
        <v>77</v>
      </c>
      <c r="G8" s="71" t="s">
        <v>77</v>
      </c>
      <c r="H8" s="72" t="s">
        <v>159</v>
      </c>
    </row>
    <row r="9" spans="1:11" x14ac:dyDescent="0.25">
      <c r="A9" s="1" t="s">
        <v>15</v>
      </c>
      <c r="B9" s="90">
        <f>B7+B8</f>
        <v>0</v>
      </c>
      <c r="C9" s="69"/>
      <c r="D9" s="90">
        <f>D7+D8</f>
        <v>0</v>
      </c>
      <c r="G9" s="71" t="s">
        <v>78</v>
      </c>
      <c r="H9" t="s">
        <v>133</v>
      </c>
    </row>
    <row r="10" spans="1:11" x14ac:dyDescent="0.25">
      <c r="H10" t="s">
        <v>157</v>
      </c>
      <c r="I10" s="18">
        <v>50000</v>
      </c>
      <c r="J10" t="s">
        <v>158</v>
      </c>
      <c r="K10" s="18">
        <v>40000</v>
      </c>
    </row>
    <row r="11" spans="1:11" ht="15.75" thickBot="1" x14ac:dyDescent="0.3">
      <c r="A11" t="s">
        <v>10</v>
      </c>
    </row>
    <row r="12" spans="1:11" ht="15.75" thickBot="1" x14ac:dyDescent="0.3">
      <c r="A12" t="s">
        <v>8</v>
      </c>
      <c r="B12" s="29">
        <f>'Operating Budget'!E18</f>
        <v>0</v>
      </c>
      <c r="C12" s="71" t="s">
        <v>100</v>
      </c>
      <c r="D12" s="29"/>
      <c r="E12" s="71" t="s">
        <v>78</v>
      </c>
    </row>
    <row r="13" spans="1:11" ht="15.75" thickBot="1" x14ac:dyDescent="0.3">
      <c r="A13" t="s">
        <v>11</v>
      </c>
      <c r="B13" s="43">
        <f>'Operating Budget'!E19</f>
        <v>0</v>
      </c>
      <c r="C13" s="71" t="s">
        <v>100</v>
      </c>
      <c r="D13" s="29"/>
      <c r="E13" s="71" t="s">
        <v>78</v>
      </c>
    </row>
    <row r="14" spans="1:11" x14ac:dyDescent="0.25">
      <c r="A14" s="2" t="s">
        <v>12</v>
      </c>
      <c r="B14" s="30">
        <f t="shared" ref="B14:D14" si="0">B12+B13</f>
        <v>0</v>
      </c>
      <c r="D14" s="30">
        <f t="shared" si="0"/>
        <v>0</v>
      </c>
    </row>
    <row r="16" spans="1:11" ht="15.75" thickBot="1" x14ac:dyDescent="0.3">
      <c r="A16" s="16" t="s">
        <v>114</v>
      </c>
      <c r="B16" s="74">
        <f>(B5*B9)+B14</f>
        <v>0</v>
      </c>
      <c r="D16" s="74">
        <f>B5*D9+D14</f>
        <v>0</v>
      </c>
    </row>
    <row r="17" spans="1:4" ht="15.75" thickTop="1" x14ac:dyDescent="0.25">
      <c r="A17" s="16"/>
    </row>
    <row r="18" spans="1:4" ht="15.75" thickBot="1" x14ac:dyDescent="0.3">
      <c r="A18" s="16" t="s">
        <v>113</v>
      </c>
      <c r="B18" s="73" t="e">
        <f>B16/B5</f>
        <v>#DIV/0!</v>
      </c>
      <c r="D18" s="73" t="e">
        <f>D16/B5</f>
        <v>#DIV/0!</v>
      </c>
    </row>
    <row r="19" spans="1:4" ht="15.75" thickTop="1" x14ac:dyDescent="0.25"/>
  </sheetData>
  <mergeCells count="4">
    <mergeCell ref="D3:E3"/>
    <mergeCell ref="D4:E4"/>
    <mergeCell ref="B3:C3"/>
    <mergeCell ref="B4:C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4" sqref="A24"/>
    </sheetView>
  </sheetViews>
  <sheetFormatPr defaultRowHeight="15" x14ac:dyDescent="0.25"/>
  <cols>
    <col min="1" max="1" width="36.7109375" bestFit="1" customWidth="1"/>
    <col min="2" max="2" width="12.28515625" bestFit="1" customWidth="1"/>
    <col min="3" max="8" width="9.7109375" bestFit="1" customWidth="1"/>
    <col min="9" max="12" width="10.5703125" bestFit="1" customWidth="1"/>
    <col min="13" max="13" width="11.28515625" bestFit="1" customWidth="1"/>
  </cols>
  <sheetData>
    <row r="1" spans="1:13" x14ac:dyDescent="0.25">
      <c r="A1" s="77" t="s">
        <v>34</v>
      </c>
    </row>
    <row r="2" spans="1:13" x14ac:dyDescent="0.25">
      <c r="B2" s="49" t="s">
        <v>35</v>
      </c>
      <c r="C2" s="49" t="s">
        <v>36</v>
      </c>
      <c r="D2" s="49" t="s">
        <v>37</v>
      </c>
      <c r="E2" s="49" t="s">
        <v>38</v>
      </c>
      <c r="F2" s="49" t="s">
        <v>39</v>
      </c>
      <c r="G2" s="49" t="s">
        <v>40</v>
      </c>
      <c r="H2" s="49" t="s">
        <v>41</v>
      </c>
      <c r="I2" s="49" t="s">
        <v>42</v>
      </c>
      <c r="J2" s="49" t="s">
        <v>43</v>
      </c>
      <c r="K2" s="49" t="s">
        <v>44</v>
      </c>
      <c r="L2" s="49" t="s">
        <v>45</v>
      </c>
      <c r="M2" s="49" t="s">
        <v>46</v>
      </c>
    </row>
    <row r="3" spans="1:13" x14ac:dyDescent="0.25">
      <c r="A3" t="s">
        <v>47</v>
      </c>
      <c r="B3" s="30">
        <f>-'Cash Budget'!O11</f>
        <v>-300000</v>
      </c>
      <c r="C3" s="30"/>
      <c r="D3" s="30"/>
      <c r="E3" s="30"/>
      <c r="F3" s="30"/>
      <c r="G3" s="30"/>
      <c r="H3" s="30"/>
      <c r="I3" s="30"/>
      <c r="M3" s="47">
        <f>SUM(B3:L3)</f>
        <v>-300000</v>
      </c>
    </row>
    <row r="4" spans="1:13" x14ac:dyDescent="0.25">
      <c r="B4" s="30"/>
      <c r="C4" s="30"/>
      <c r="D4" s="30"/>
      <c r="E4" s="30"/>
      <c r="F4" s="30"/>
      <c r="G4" s="30"/>
      <c r="H4" s="30"/>
      <c r="I4" s="30"/>
    </row>
    <row r="5" spans="1:13" x14ac:dyDescent="0.25">
      <c r="A5" s="75" t="s">
        <v>48</v>
      </c>
      <c r="B5" s="30"/>
      <c r="C5" s="30"/>
      <c r="D5" s="30"/>
      <c r="E5" s="30"/>
      <c r="F5" s="30"/>
      <c r="G5" s="30"/>
      <c r="H5" s="30"/>
      <c r="I5" s="30"/>
    </row>
    <row r="6" spans="1:13" x14ac:dyDescent="0.25">
      <c r="A6" t="s">
        <v>49</v>
      </c>
      <c r="B6" s="30"/>
      <c r="C6" s="30">
        <v>135000</v>
      </c>
      <c r="D6" s="30">
        <f>C6</f>
        <v>135000</v>
      </c>
      <c r="E6" s="30">
        <f t="shared" ref="E6:G6" si="0">D6</f>
        <v>135000</v>
      </c>
      <c r="F6" s="30">
        <f t="shared" si="0"/>
        <v>135000</v>
      </c>
      <c r="G6" s="30">
        <f t="shared" si="0"/>
        <v>135000</v>
      </c>
      <c r="H6" s="30">
        <v>200000</v>
      </c>
      <c r="I6" s="30">
        <v>200000</v>
      </c>
      <c r="J6" s="30">
        <v>200000</v>
      </c>
      <c r="K6" s="30">
        <v>200000</v>
      </c>
      <c r="L6" s="30">
        <v>200000</v>
      </c>
      <c r="M6" s="47">
        <f>SUM(B6:L6)</f>
        <v>1675000</v>
      </c>
    </row>
    <row r="7" spans="1:13" x14ac:dyDescent="0.25">
      <c r="A7" t="s">
        <v>50</v>
      </c>
      <c r="B7" s="30"/>
      <c r="C7" s="30"/>
      <c r="D7" s="30"/>
      <c r="E7" s="30"/>
      <c r="F7" s="30"/>
      <c r="G7" s="30"/>
      <c r="I7" s="30"/>
      <c r="L7" s="30">
        <v>-50000</v>
      </c>
      <c r="M7" s="47">
        <f>SUM(B7:L7)</f>
        <v>-50000</v>
      </c>
    </row>
    <row r="8" spans="1:13" ht="15.75" thickBot="1" x14ac:dyDescent="0.3">
      <c r="A8" t="s">
        <v>51</v>
      </c>
      <c r="B8" s="30"/>
      <c r="C8" s="30">
        <v>-95000</v>
      </c>
      <c r="D8" s="30">
        <v>-95000</v>
      </c>
      <c r="E8" s="30">
        <v>-95000</v>
      </c>
      <c r="F8" s="30">
        <v>-95000</v>
      </c>
      <c r="G8" s="30">
        <v>-95000</v>
      </c>
      <c r="H8" s="30">
        <v>-135000</v>
      </c>
      <c r="I8" s="30">
        <v>-135000</v>
      </c>
      <c r="J8" s="30">
        <v>-135000</v>
      </c>
      <c r="K8" s="30">
        <v>-135000</v>
      </c>
      <c r="L8" s="30">
        <v>-135000</v>
      </c>
      <c r="M8" s="47">
        <f t="shared" ref="M8:M9" si="1">SUM(B8:L8)</f>
        <v>-1150000</v>
      </c>
    </row>
    <row r="9" spans="1:13" ht="15.75" thickBot="1" x14ac:dyDescent="0.3">
      <c r="A9" t="s">
        <v>52</v>
      </c>
      <c r="B9" s="38"/>
      <c r="C9" s="38"/>
      <c r="D9" s="38"/>
      <c r="E9" s="38"/>
      <c r="F9" s="38"/>
      <c r="G9" s="29"/>
      <c r="H9" s="84" t="s">
        <v>105</v>
      </c>
      <c r="I9" s="29"/>
      <c r="J9" s="5"/>
      <c r="K9" s="5"/>
      <c r="L9" s="5"/>
      <c r="M9" s="83">
        <f t="shared" si="1"/>
        <v>0</v>
      </c>
    </row>
    <row r="10" spans="1:13" x14ac:dyDescent="0.25">
      <c r="A10" t="s">
        <v>24</v>
      </c>
      <c r="B10" s="30">
        <f t="shared" ref="B10:L10" si="2">SUM(B3:B9)</f>
        <v>-300000</v>
      </c>
      <c r="C10" s="30">
        <f t="shared" si="2"/>
        <v>40000</v>
      </c>
      <c r="D10" s="30">
        <f t="shared" si="2"/>
        <v>40000</v>
      </c>
      <c r="E10" s="30">
        <f t="shared" si="2"/>
        <v>40000</v>
      </c>
      <c r="F10" s="30">
        <f t="shared" si="2"/>
        <v>40000</v>
      </c>
      <c r="G10" s="30">
        <f>SUM(G3:G9)</f>
        <v>40000</v>
      </c>
      <c r="H10" s="30">
        <f t="shared" si="2"/>
        <v>65000</v>
      </c>
      <c r="I10" s="30">
        <f t="shared" si="2"/>
        <v>65000</v>
      </c>
      <c r="J10" s="30">
        <f t="shared" si="2"/>
        <v>65000</v>
      </c>
      <c r="K10" s="30">
        <f t="shared" si="2"/>
        <v>65000</v>
      </c>
      <c r="L10" s="30">
        <f t="shared" si="2"/>
        <v>15000</v>
      </c>
      <c r="M10" s="30">
        <f>SUM(M3:M9)</f>
        <v>175000</v>
      </c>
    </row>
    <row r="11" spans="1:13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x14ac:dyDescent="0.25">
      <c r="A12" t="s">
        <v>53</v>
      </c>
      <c r="B12" s="30">
        <f>B10</f>
        <v>-300000</v>
      </c>
      <c r="C12" s="30">
        <f>B12+C10</f>
        <v>-260000</v>
      </c>
      <c r="D12" s="30">
        <f t="shared" ref="D12:L12" si="3">C12+D10</f>
        <v>-220000</v>
      </c>
      <c r="E12" s="30">
        <f t="shared" si="3"/>
        <v>-180000</v>
      </c>
      <c r="F12" s="30">
        <f t="shared" si="3"/>
        <v>-140000</v>
      </c>
      <c r="G12" s="30">
        <f t="shared" si="3"/>
        <v>-100000</v>
      </c>
      <c r="H12" s="30">
        <f t="shared" si="3"/>
        <v>-35000</v>
      </c>
      <c r="I12" s="30">
        <f t="shared" si="3"/>
        <v>30000</v>
      </c>
      <c r="J12" s="30">
        <f t="shared" si="3"/>
        <v>95000</v>
      </c>
      <c r="K12" s="30">
        <f t="shared" si="3"/>
        <v>160000</v>
      </c>
      <c r="L12" s="30">
        <f t="shared" si="3"/>
        <v>175000</v>
      </c>
      <c r="M12" s="30"/>
    </row>
    <row r="14" spans="1:13" x14ac:dyDescent="0.25">
      <c r="A14" s="16" t="s">
        <v>54</v>
      </c>
      <c r="B14" s="76">
        <v>0.05</v>
      </c>
    </row>
    <row r="15" spans="1:13" ht="15.75" thickBot="1" x14ac:dyDescent="0.3"/>
    <row r="16" spans="1:13" ht="15.75" thickBot="1" x14ac:dyDescent="0.3">
      <c r="A16" t="s">
        <v>117</v>
      </c>
      <c r="B16" s="81"/>
      <c r="C16" s="71" t="s">
        <v>119</v>
      </c>
    </row>
    <row r="17" spans="1:3" ht="15.75" thickBot="1" x14ac:dyDescent="0.3">
      <c r="B17" s="80"/>
    </row>
    <row r="18" spans="1:3" ht="15.75" thickBot="1" x14ac:dyDescent="0.3">
      <c r="A18" t="s">
        <v>118</v>
      </c>
      <c r="B18" s="82"/>
      <c r="C18" s="71" t="s">
        <v>120</v>
      </c>
    </row>
    <row r="19" spans="1:3" ht="15.75" thickBot="1" x14ac:dyDescent="0.3"/>
    <row r="20" spans="1:3" ht="15.75" thickBot="1" x14ac:dyDescent="0.3">
      <c r="A20" t="s">
        <v>55</v>
      </c>
      <c r="B20" s="79"/>
      <c r="C20" s="71" t="s">
        <v>121</v>
      </c>
    </row>
    <row r="21" spans="1:3" ht="15.75" thickBot="1" x14ac:dyDescent="0.3"/>
    <row r="22" spans="1:3" ht="15.75" thickBot="1" x14ac:dyDescent="0.3">
      <c r="A22" t="s">
        <v>56</v>
      </c>
      <c r="B22" s="79"/>
      <c r="C22" s="71" t="s">
        <v>122</v>
      </c>
    </row>
    <row r="23" spans="1:3" ht="15.75" thickBot="1" x14ac:dyDescent="0.3"/>
    <row r="24" spans="1:3" ht="15.75" thickBot="1" x14ac:dyDescent="0.3">
      <c r="A24" s="16" t="s">
        <v>52</v>
      </c>
      <c r="B24" s="24">
        <v>-85000</v>
      </c>
      <c r="C24" s="7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Operating Budget</vt:lpstr>
      <vt:lpstr>Cash Budget</vt:lpstr>
      <vt:lpstr>Variances</vt:lpstr>
      <vt:lpstr>Decisions</vt:lpstr>
      <vt:lpstr>Capital</vt:lpstr>
    </vt:vector>
  </TitlesOfParts>
  <Company>DeVry Education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2019-05-23T21:21:08Z</dcterms:created>
  <dcterms:modified xsi:type="dcterms:W3CDTF">2019-05-29T13:08:24Z</dcterms:modified>
</cp:coreProperties>
</file>